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menkirkkomusiikki.sharepoint.com/sites/onedrive/Jaetut asiakirjat/SKML - Tiedostot/Edustajakokoukset/Edustajakokous 2022/"/>
    </mc:Choice>
  </mc:AlternateContent>
  <xr:revisionPtr revIDLastSave="10" documentId="8_{E56302EE-4E78-4D84-8F8F-71A45DE65B4E}" xr6:coauthVersionLast="47" xr6:coauthVersionMax="47" xr10:uidLastSave="{16F4FA9A-58B7-461D-A497-DF6187F953DD}"/>
  <bookViews>
    <workbookView xWindow="-110" yWindow="-110" windowWidth="19420" windowHeight="10420" xr2:uid="{98C42288-DEF9-4360-AE29-2ABBFD6F215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3" i="1" l="1"/>
  <c r="C172" i="1"/>
  <c r="C167" i="1"/>
  <c r="C161" i="1"/>
  <c r="C145" i="1"/>
  <c r="C146" i="1" s="1"/>
  <c r="C124" i="1"/>
  <c r="C113" i="1"/>
  <c r="C104" i="1"/>
  <c r="C96" i="1"/>
  <c r="C49" i="1"/>
  <c r="C19" i="1"/>
  <c r="C13" i="1"/>
  <c r="F81" i="1"/>
  <c r="F96" i="1" s="1"/>
  <c r="L82" i="1"/>
  <c r="D96" i="1"/>
  <c r="E96" i="1"/>
  <c r="G96" i="1"/>
  <c r="H96" i="1"/>
  <c r="I96" i="1"/>
  <c r="J96" i="1"/>
  <c r="K96" i="1"/>
  <c r="D101" i="1"/>
  <c r="D104" i="1" s="1"/>
  <c r="F104" i="1"/>
  <c r="G104" i="1"/>
  <c r="H104" i="1"/>
  <c r="I104" i="1"/>
  <c r="J104" i="1"/>
  <c r="K104" i="1"/>
  <c r="L104" i="1"/>
  <c r="D113" i="1"/>
  <c r="G113" i="1"/>
  <c r="H113" i="1"/>
  <c r="I113" i="1"/>
  <c r="J113" i="1"/>
  <c r="K113" i="1"/>
  <c r="L113" i="1"/>
  <c r="D118" i="1"/>
  <c r="D124" i="1" s="1"/>
  <c r="G118" i="1"/>
  <c r="G124" i="1" s="1"/>
  <c r="H118" i="1"/>
  <c r="I118" i="1"/>
  <c r="J118" i="1"/>
  <c r="K118" i="1"/>
  <c r="L118" i="1"/>
  <c r="H123" i="1"/>
  <c r="I123" i="1"/>
  <c r="J123" i="1"/>
  <c r="K123" i="1"/>
  <c r="L123" i="1"/>
  <c r="F124" i="1"/>
  <c r="F127" i="1" s="1"/>
  <c r="E127" i="1"/>
  <c r="G137" i="1"/>
  <c r="H137" i="1"/>
  <c r="H146" i="1" s="1"/>
  <c r="I137" i="1"/>
  <c r="I146" i="1" s="1"/>
  <c r="I148" i="1" s="1"/>
  <c r="J137" i="1"/>
  <c r="J146" i="1" s="1"/>
  <c r="K137" i="1"/>
  <c r="K146" i="1" s="1"/>
  <c r="L137" i="1"/>
  <c r="L146" i="1" s="1"/>
  <c r="D145" i="1"/>
  <c r="G145" i="1"/>
  <c r="D146" i="1"/>
  <c r="G155" i="1"/>
  <c r="H155" i="1"/>
  <c r="I155" i="1"/>
  <c r="I161" i="1" s="1"/>
  <c r="J155" i="1"/>
  <c r="K155" i="1"/>
  <c r="L155" i="1"/>
  <c r="D160" i="1"/>
  <c r="D161" i="1" s="1"/>
  <c r="F160" i="1"/>
  <c r="G160" i="1"/>
  <c r="H160" i="1"/>
  <c r="J160" i="1"/>
  <c r="K160" i="1"/>
  <c r="L160" i="1"/>
  <c r="E161" i="1"/>
  <c r="D167" i="1"/>
  <c r="G167" i="1"/>
  <c r="H167" i="1"/>
  <c r="I167" i="1"/>
  <c r="J167" i="1"/>
  <c r="K167" i="1"/>
  <c r="L167" i="1"/>
  <c r="F171" i="1"/>
  <c r="H171" i="1"/>
  <c r="D172" i="1"/>
  <c r="G172" i="1"/>
  <c r="H172" i="1"/>
  <c r="I172" i="1"/>
  <c r="J172" i="1"/>
  <c r="K172" i="1"/>
  <c r="L172" i="1"/>
  <c r="F181" i="1"/>
  <c r="F183" i="1" s="1"/>
  <c r="D183" i="1"/>
  <c r="E183" i="1"/>
  <c r="G183" i="1"/>
  <c r="H183" i="1"/>
  <c r="I183" i="1"/>
  <c r="J183" i="1"/>
  <c r="K183" i="1"/>
  <c r="L183" i="1"/>
  <c r="L52" i="1"/>
  <c r="L57" i="1"/>
  <c r="L62" i="1"/>
  <c r="L63" i="1"/>
  <c r="G49" i="1"/>
  <c r="H49" i="1"/>
  <c r="I49" i="1"/>
  <c r="J49" i="1"/>
  <c r="K49" i="1"/>
  <c r="L49" i="1"/>
  <c r="E42" i="1"/>
  <c r="D43" i="1"/>
  <c r="F43" i="1"/>
  <c r="G43" i="1"/>
  <c r="H43" i="1"/>
  <c r="I43" i="1"/>
  <c r="J43" i="1"/>
  <c r="K43" i="1"/>
  <c r="L43" i="1"/>
  <c r="E45" i="1"/>
  <c r="L28" i="1"/>
  <c r="L29" i="1"/>
  <c r="L30" i="1"/>
  <c r="L31" i="1"/>
  <c r="G32" i="1"/>
  <c r="H32" i="1"/>
  <c r="I32" i="1"/>
  <c r="J32" i="1"/>
  <c r="K32" i="1"/>
  <c r="D33" i="1"/>
  <c r="F33" i="1"/>
  <c r="L35" i="1"/>
  <c r="L36" i="1" s="1"/>
  <c r="D36" i="1"/>
  <c r="G36" i="1"/>
  <c r="H36" i="1"/>
  <c r="I36" i="1"/>
  <c r="J36" i="1"/>
  <c r="K36" i="1"/>
  <c r="L16" i="1"/>
  <c r="L17" i="1"/>
  <c r="D19" i="1"/>
  <c r="E19" i="1"/>
  <c r="F19" i="1"/>
  <c r="G19" i="1"/>
  <c r="H19" i="1"/>
  <c r="I19" i="1"/>
  <c r="J19" i="1"/>
  <c r="K19" i="1"/>
  <c r="L9" i="1"/>
  <c r="L13" i="1" s="1"/>
  <c r="D13" i="1"/>
  <c r="E13" i="1"/>
  <c r="F13" i="1"/>
  <c r="G13" i="1"/>
  <c r="H13" i="1"/>
  <c r="I13" i="1"/>
  <c r="J13" i="1"/>
  <c r="K13" i="1"/>
  <c r="K124" i="1" l="1"/>
  <c r="K127" i="1" s="1"/>
  <c r="C105" i="1"/>
  <c r="G173" i="1"/>
  <c r="H161" i="1"/>
  <c r="G21" i="1"/>
  <c r="J161" i="1"/>
  <c r="L19" i="1"/>
  <c r="L21" i="1" s="1"/>
  <c r="J124" i="1"/>
  <c r="J127" i="1" s="1"/>
  <c r="H21" i="1"/>
  <c r="L173" i="1"/>
  <c r="C173" i="1"/>
  <c r="D21" i="1"/>
  <c r="C127" i="1"/>
  <c r="E21" i="1"/>
  <c r="E129" i="1" s="1"/>
  <c r="I173" i="1"/>
  <c r="I175" i="1" s="1"/>
  <c r="I185" i="1" s="1"/>
  <c r="I187" i="1" s="1"/>
  <c r="K161" i="1"/>
  <c r="C21" i="1"/>
  <c r="J21" i="1"/>
  <c r="I45" i="1"/>
  <c r="G127" i="1"/>
  <c r="J173" i="1"/>
  <c r="K173" i="1"/>
  <c r="L161" i="1"/>
  <c r="G146" i="1"/>
  <c r="D127" i="1"/>
  <c r="D45" i="1"/>
  <c r="D105" i="1" s="1"/>
  <c r="I21" i="1"/>
  <c r="F45" i="1"/>
  <c r="L32" i="1"/>
  <c r="L45" i="1" s="1"/>
  <c r="H124" i="1"/>
  <c r="H127" i="1" s="1"/>
  <c r="L124" i="1"/>
  <c r="L127" i="1" s="1"/>
  <c r="K21" i="1"/>
  <c r="K45" i="1"/>
  <c r="K105" i="1" s="1"/>
  <c r="H173" i="1"/>
  <c r="L96" i="1"/>
  <c r="H45" i="1"/>
  <c r="H105" i="1" s="1"/>
  <c r="J45" i="1"/>
  <c r="J105" i="1" s="1"/>
  <c r="G45" i="1"/>
  <c r="G105" i="1" s="1"/>
  <c r="D173" i="1"/>
  <c r="G161" i="1"/>
  <c r="C129" i="1" l="1"/>
  <c r="C148" i="1" s="1"/>
  <c r="C175" i="1" s="1"/>
  <c r="C185" i="1" s="1"/>
  <c r="C187" i="1" s="1"/>
  <c r="G129" i="1"/>
  <c r="G148" i="1" s="1"/>
  <c r="G175" i="1" s="1"/>
  <c r="G185" i="1" s="1"/>
  <c r="G187" i="1" s="1"/>
  <c r="D129" i="1"/>
  <c r="D148" i="1" s="1"/>
  <c r="D175" i="1" s="1"/>
  <c r="D185" i="1" s="1"/>
  <c r="D187" i="1" s="1"/>
  <c r="H129" i="1"/>
  <c r="H148" i="1" s="1"/>
  <c r="H175" i="1" s="1"/>
  <c r="H185" i="1" s="1"/>
  <c r="H187" i="1" s="1"/>
  <c r="J129" i="1"/>
  <c r="J148" i="1" s="1"/>
  <c r="J175" i="1" s="1"/>
  <c r="J185" i="1" s="1"/>
  <c r="J187" i="1" s="1"/>
  <c r="K129" i="1"/>
  <c r="K148" i="1" s="1"/>
  <c r="K175" i="1" s="1"/>
  <c r="K185" i="1" s="1"/>
  <c r="K187" i="1" s="1"/>
  <c r="L105" i="1"/>
  <c r="L129" i="1" s="1"/>
  <c r="L148" i="1" s="1"/>
  <c r="L175" i="1" s="1"/>
  <c r="L185" i="1" s="1"/>
  <c r="L1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tc={F4E49B47-EE20-473E-B203-02EF9A578636}</author>
    <author>tc={8EAB6285-90C5-4C4D-AF20-0FF6A1331042}</author>
    <author>tc={291BC004-30A0-4EFF-8544-A4629A1D10E1}</author>
    <author>tc={DF8577B1-BB7B-4DAE-9471-9411147B84F6}</author>
    <author>tc={10A38D95-F0D5-49CD-BC3C-336068C8DD61}</author>
    <author>tc={F30ADC39-B4BE-4AE4-81D9-66BF22A532E1}</author>
  </authors>
  <commentList>
    <comment ref="C45" authorId="0" shapeId="0" xr:uid="{F4E49B47-EE20-473E-B203-02EF9A578636}">
      <text>
        <t>[Kommenttiketju]
Excel-versiosi avulla voit lukea tämän kommenttiketjun, mutta siihen tehdyt muutokset poistetaan, jos tiedosto avataan uudemmassa Excel-versiossa. Lisätietoja: https://go.microsoft.com/fwlink/?linkid=870924
Kommentti:
    Varauduttu henkilöstön kannustinpalkkioihin</t>
      </text>
    </comment>
    <comment ref="C52" authorId="1" shapeId="0" xr:uid="{8EAB6285-90C5-4C4D-AF20-0FF6A1331042}">
      <text>
        <t>[Kommenttiketju]
Excel-versiosi avulla voit lukea tämän kommenttiketjun, mutta siihen tehdyt muutokset poistetaan, jos tiedosto avataan uudemmassa Excel-versiossa. Lisätietoja: https://go.microsoft.com/fwlink/?linkid=870924
Kommentti:
    Varauduttu pitkän tähtäimen toimintasuunnitelman osallistavaan työskentelyyn</t>
      </text>
    </comment>
    <comment ref="C72" authorId="2" shapeId="0" xr:uid="{291BC004-30A0-4EFF-8544-A4629A1D10E1}">
      <text>
        <t>[Kommenttiketju]
Excel-versiosi avulla voit lukea tämän kommenttiketjun, mutta siihen tehdyt muutokset poistetaan, jos tiedosto avataan uudemmassa Excel-versiossa. Lisätietoja: https://go.microsoft.com/fwlink/?linkid=870924
Kommentti:
    Varauduttu verkkokoulutuksien palkkioihin</t>
      </text>
    </comment>
    <comment ref="C92" authorId="3" shapeId="0" xr:uid="{DF8577B1-BB7B-4DAE-9471-9411147B84F6}">
      <text>
        <t>[Kommenttiketju]
Excel-versiosi avulla voit lukea tämän kommenttiketjun, mutta siihen tehdyt muutokset poistetaan, jos tiedosto avataan uudemmassa Excel-versiossa. Lisätietoja: https://go.microsoft.com/fwlink/?linkid=870924
Kommentti:
    Varauduttu korottamaan piirien toimirahaa</t>
      </text>
    </comment>
    <comment ref="C124" authorId="4" shapeId="0" xr:uid="{10A38D95-F0D5-49CD-BC3C-336068C8DD61}">
      <text>
        <t>[Kommenttiketju]
Excel-versiosi avulla voit lukea tämän kommenttiketjun, mutta siihen tehdyt muutokset poistetaan, jos tiedosto avataan uudemmassa Excel-versiossa. Lisätietoja: https://go.microsoft.com/fwlink/?linkid=870924
Kommentti:
    Kirkkomusiikki-lehden uudelleenorganisoituminen, lehti osana liiton toimintaa.</t>
      </text>
    </comment>
    <comment ref="C167" authorId="5" shapeId="0" xr:uid="{F30ADC39-B4BE-4AE4-81D9-66BF22A532E1}">
      <text>
        <t>[Kommenttiketju]
Excel-versiosi avulla voit lukea tämän kommenttiketjun, mutta siihen tehdyt muutokset poistetaan, jos tiedosto avataan uudemmassa Excel-versiossa. Lisätietoja: https://go.microsoft.com/fwlink/?linkid=870924
Kommentti:
    Sijoitetaan tuottavasti Tollinpolun osakkeen myyntitulo, Kirkkomusiikki-lehden varallisuus ja liiton varat.</t>
      </text>
    </comment>
  </commentList>
</comments>
</file>

<file path=xl/sharedStrings.xml><?xml version="1.0" encoding="utf-8"?>
<sst xmlns="http://schemas.openxmlformats.org/spreadsheetml/2006/main" count="191" uniqueCount="142">
  <si>
    <t>Suomen Kirkkomusiikkiliitto ry</t>
  </si>
  <si>
    <t>Arvio 2022</t>
  </si>
  <si>
    <t>Toteutunut</t>
  </si>
  <si>
    <t xml:space="preserve">Toteutunut </t>
  </si>
  <si>
    <t>1.1.2022-31.12.2022</t>
  </si>
  <si>
    <t>1.1-31.12-2021</t>
  </si>
  <si>
    <t>1.1.-31.12.2020</t>
  </si>
  <si>
    <t>1.1.-31.12.2019</t>
  </si>
  <si>
    <t>1.1.-31.12.2018</t>
  </si>
  <si>
    <t>1.1.-31.12.2017</t>
  </si>
  <si>
    <t>1.1.-31.12.2016</t>
  </si>
  <si>
    <t>1.1.-31.12.2015</t>
  </si>
  <si>
    <t>1.1.-31.12.2014</t>
  </si>
  <si>
    <t>VARSINAINEN TOIMINTA</t>
  </si>
  <si>
    <t>Palvelutoiminta</t>
  </si>
  <si>
    <t>Tuotot</t>
  </si>
  <si>
    <t>Myynti merkit, lahja- ym. tarvikkeet</t>
  </si>
  <si>
    <t>Myynti nuotit</t>
  </si>
  <si>
    <t>Julkaisuluvat</t>
  </si>
  <si>
    <t>Toimituskulut (alv 0 %)</t>
  </si>
  <si>
    <t>Ostokulut</t>
  </si>
  <si>
    <t>Ostot merkit, lahja- ym. Tarvikkeet</t>
  </si>
  <si>
    <t>Pakkaustarvikkeet ja postitus</t>
  </si>
  <si>
    <t>Varaston muutos</t>
  </si>
  <si>
    <t xml:space="preserve">Ostokulut  </t>
  </si>
  <si>
    <t>Palvelutoiminta yhteensä</t>
  </si>
  <si>
    <t>Liittotoiminta</t>
  </si>
  <si>
    <t>Henkilöstökulut</t>
  </si>
  <si>
    <t>Palkat</t>
  </si>
  <si>
    <t xml:space="preserve"> </t>
  </si>
  <si>
    <t>LH kokouspalkkiot</t>
  </si>
  <si>
    <t>LH puh.joht.palkkiot, ans.men.+pj:n korvaus</t>
  </si>
  <si>
    <t>Muut kokouspalkkiot</t>
  </si>
  <si>
    <t>Tyel</t>
  </si>
  <si>
    <t>Muut lakisääteiset maksut</t>
  </si>
  <si>
    <t>Työttömyysvakuutus</t>
  </si>
  <si>
    <t>Sosiaaliturvamaksu</t>
  </si>
  <si>
    <t>Tapaturma- ja ryhmähenkivak.maksu</t>
  </si>
  <si>
    <t>Lomapalkkavelan muutos</t>
  </si>
  <si>
    <t>Vapaaehtoiset henkilövakuutusmaksut</t>
  </si>
  <si>
    <t>Henkilöstökulut yhteensä</t>
  </si>
  <si>
    <t>Poistot</t>
  </si>
  <si>
    <t>Muut kulut</t>
  </si>
  <si>
    <t>Matkakulut ja päivärahat toimihenkilöt</t>
  </si>
  <si>
    <t>Majoituskulut toimihenkilöt</t>
  </si>
  <si>
    <t>Henkilökunnan työterveys</t>
  </si>
  <si>
    <t>Henkilökunnan liikunta ja virkistys</t>
  </si>
  <si>
    <t>Muut henk. sos. menot</t>
  </si>
  <si>
    <t>LH matkakulut ja päivärahat</t>
  </si>
  <si>
    <t>LH majoituskulut</t>
  </si>
  <si>
    <t>LH muut kulut</t>
  </si>
  <si>
    <t>vuosikok. Edustajakokouskulut</t>
  </si>
  <si>
    <t>vuosikok. Edustajien matkakulut ja päivärahat</t>
  </si>
  <si>
    <t>Muut kokouskulut</t>
  </si>
  <si>
    <t>Muut matka- ja päivärahat</t>
  </si>
  <si>
    <t>Tilintarkastuspalkkiot</t>
  </si>
  <si>
    <t>Kouluttaja- ja asiantuntijapalkkiot</t>
  </si>
  <si>
    <t>Puh.joht.- ja sihteerikoulutus</t>
  </si>
  <si>
    <t>Virikkeitä uuteen kirkkomusiik</t>
  </si>
  <si>
    <t>Koulutuskulut lapsi- ja nuoriso</t>
  </si>
  <si>
    <t>Nuorisokuorotapahtuma 2019</t>
  </si>
  <si>
    <t>Lapsikuorotapahtuma 2020</t>
  </si>
  <si>
    <t>Koulutuskulut aikuisryhmille</t>
  </si>
  <si>
    <t>Hoivamusiikkikoulutus</t>
  </si>
  <si>
    <t>Pohjoismaiset kirkkomusiikkijuhlat</t>
  </si>
  <si>
    <t>Vuoden musiikkiryhmä</t>
  </si>
  <si>
    <t>Lapsi/nuorisokuorotapahtuma</t>
  </si>
  <si>
    <t>Kirkkomusiikin päivä</t>
  </si>
  <si>
    <t>Muut edustuskulut</t>
  </si>
  <si>
    <t>Jäsenmaksut</t>
  </si>
  <si>
    <t>Kirjanpidon ostopalvelu</t>
  </si>
  <si>
    <t>Rahaliikenteen kulut</t>
  </si>
  <si>
    <t>Muut varsinaisen toiminnan kulut</t>
  </si>
  <si>
    <t xml:space="preserve">Tietotekniikkakulut </t>
  </si>
  <si>
    <t>Verkkokaupan järjestelmäkulut</t>
  </si>
  <si>
    <t>Puhelin- ja datakulut</t>
  </si>
  <si>
    <t>Painatus- ja kopiointikulut</t>
  </si>
  <si>
    <t>Toimistotarvikkeet</t>
  </si>
  <si>
    <t>Muut toimistokulut</t>
  </si>
  <si>
    <t>Muut vuokrat</t>
  </si>
  <si>
    <t>Toimitilavuokrat</t>
  </si>
  <si>
    <t>Avustukset piireille ja jäsensrk:lle</t>
  </si>
  <si>
    <t>Piirien toimintaraha srk -jäsenistä (10%)</t>
  </si>
  <si>
    <t>Vuodelle 2019 kuuluvat kulut</t>
  </si>
  <si>
    <t>Vanhojen vuosien virheellisten saatavien poisto</t>
  </si>
  <si>
    <t>Muut vakuutukset</t>
  </si>
  <si>
    <t>Muun varsinaisen toiminnan tuotot</t>
  </si>
  <si>
    <t>Agricola-opiston tuki</t>
  </si>
  <si>
    <t>Kolehti lapsikuorotapahtumalle Seinäjoella</t>
  </si>
  <si>
    <t>Lapsi ja nuorisok.tap, osallistumismaksutulo</t>
  </si>
  <si>
    <t>Liittotoiminta yhteensä</t>
  </si>
  <si>
    <t>174,321,00</t>
  </si>
  <si>
    <t>Osuudet erillistoiminnoista</t>
  </si>
  <si>
    <t>Yhteiskustannus</t>
  </si>
  <si>
    <t>YH-tuotto-osuus (alv 24%)</t>
  </si>
  <si>
    <t>Kirkkomusiikkilehti</t>
  </si>
  <si>
    <t>Avustus</t>
  </si>
  <si>
    <t>Korvaus, kirkkomusiikkilehti</t>
  </si>
  <si>
    <t>Kulut</t>
  </si>
  <si>
    <t>Muut kulut, kirkkomusiikkilehti</t>
  </si>
  <si>
    <t>Yhteensä kulut</t>
  </si>
  <si>
    <t>Kirkkomusiikkilehti yhteensä</t>
  </si>
  <si>
    <t>Osuudet erillistoiminnoista yhteensä</t>
  </si>
  <si>
    <t>KULUJÄÄMÄ I</t>
  </si>
  <si>
    <t>VARAINHANKINTA</t>
  </si>
  <si>
    <t>Jäsenmaksutuotot</t>
  </si>
  <si>
    <t xml:space="preserve">Yhdistysjäsenten jäsenmaksutuotot </t>
  </si>
  <si>
    <t>Seurakuntajäsenten jäsenmaksutuotot</t>
  </si>
  <si>
    <t>Osallistumismaksutulot</t>
  </si>
  <si>
    <t>Lapsi/nuorisokuorotapahtuma, osallitumismaksutulot</t>
  </si>
  <si>
    <t>Varainhankinnan kulut</t>
  </si>
  <si>
    <t>Varainhankinnan kulut yhteensä</t>
  </si>
  <si>
    <t xml:space="preserve">Varainhankinnan tulot yhteensä </t>
  </si>
  <si>
    <t>KULUJÄÄMÄ II</t>
  </si>
  <si>
    <t>SIJOITUS- JA RAHOITUSTOIMINTA</t>
  </si>
  <si>
    <t>Asunto Oy Tollinpolku</t>
  </si>
  <si>
    <t>Vuokratuotot Tollinpolku</t>
  </si>
  <si>
    <t>Vuokratuotot</t>
  </si>
  <si>
    <t>Vastikekulut Tollinpolku</t>
  </si>
  <si>
    <t>Korjauskulut Tollinpolku</t>
  </si>
  <si>
    <t>Muut kulut Tollinpolku</t>
  </si>
  <si>
    <t>Asunto Oy Tollinpolku yhteensä</t>
  </si>
  <si>
    <t>Muu sijoitus- ja rahoitustoiminta</t>
  </si>
  <si>
    <t>Korko- ja osinkotuotot</t>
  </si>
  <si>
    <t>Muut sijoitustuotot</t>
  </si>
  <si>
    <t>Rahoituskulut</t>
  </si>
  <si>
    <t>Korkokulut</t>
  </si>
  <si>
    <t>verot</t>
  </si>
  <si>
    <t>Muu sijoitus- ja rahoitustoiminta yhteensä</t>
  </si>
  <si>
    <t>KULUJÄÄMÄ III</t>
  </si>
  <si>
    <t>Yleisavustukset</t>
  </si>
  <si>
    <t>Kirkkohallitus</t>
  </si>
  <si>
    <t>Kolehtituotot</t>
  </si>
  <si>
    <t>Apurahat</t>
  </si>
  <si>
    <t>Lahjoitukset ja testamentit</t>
  </si>
  <si>
    <t>Yhteensä Yleisavustukset</t>
  </si>
  <si>
    <t>KULUJÄÄMÄ IV</t>
  </si>
  <si>
    <t>Tilikauden yli/alijäämä</t>
  </si>
  <si>
    <t>1.1.2023-31.12.2023</t>
  </si>
  <si>
    <t>Arvio 2023</t>
  </si>
  <si>
    <t>Tilausmaksutulot</t>
  </si>
  <si>
    <t xml:space="preserve">Ilmoitusmaksutulot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</si>
</sst>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9"/>
      <name val="Arial"/>
      <charset val="1"/>
    </font>
    <font>
      <sz val="11"/>
      <name val="Arial"/>
      <charset val="1"/>
    </font>
    <font>
      <b/>
      <sz val="14"/>
      <name val="Calibri"/>
    </font>
    <font>
      <sz val="11"/>
      <name val="Calibri"/>
    </font>
    <font>
      <b/>
      <sz val="11"/>
      <name val="Arial"/>
      <charset val="1"/>
    </font>
    <font>
      <b/>
      <sz val="14"/>
      <name val="Arial"/>
      <charset val="1"/>
    </font>
    <font>
      <b/>
      <sz val="16"/>
      <color theme="4" tint="-0.249977111117893"/>
      <name val="Calibri"/>
      <family val="2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1" fillId="2" borderId="0" xfId="0" applyFont="1" applyFill="1"/>
    <xf numFmtId="0" fontId="7" fillId="2" borderId="0" xfId="0" applyFont="1" applyFill="1"/>
    <xf numFmtId="164" fontId="1" fillId="2" borderId="0" xfId="0" applyNumberFormat="1" applyFont="1" applyFill="1"/>
    <xf numFmtId="4" fontId="1" fillId="2" borderId="0" xfId="0" applyNumberFormat="1" applyFont="1" applyFill="1"/>
    <xf numFmtId="4" fontId="0" fillId="0" borderId="0" xfId="0" applyNumberFormat="1" applyAlignment="1">
      <alignment horizontal="right" indent="1"/>
    </xf>
    <xf numFmtId="4" fontId="4" fillId="0" borderId="0" xfId="0" applyNumberFormat="1" applyFont="1"/>
    <xf numFmtId="0" fontId="7" fillId="0" borderId="0" xfId="0" applyFont="1"/>
    <xf numFmtId="164" fontId="1" fillId="0" borderId="0" xfId="0" applyNumberFormat="1" applyFont="1"/>
    <xf numFmtId="4" fontId="1" fillId="0" borderId="0" xfId="0" applyNumberFormat="1" applyFont="1"/>
    <xf numFmtId="0" fontId="10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64" fontId="10" fillId="2" borderId="0" xfId="0" applyNumberFormat="1" applyFont="1" applyFill="1"/>
    <xf numFmtId="4" fontId="10" fillId="2" borderId="0" xfId="0" applyNumberFormat="1" applyFont="1" applyFill="1"/>
    <xf numFmtId="0" fontId="1" fillId="3" borderId="0" xfId="0" applyFont="1" applyFill="1"/>
    <xf numFmtId="0" fontId="0" fillId="3" borderId="0" xfId="0" applyFill="1"/>
    <xf numFmtId="0" fontId="4" fillId="3" borderId="0" xfId="0" applyFont="1" applyFill="1"/>
    <xf numFmtId="164" fontId="0" fillId="3" borderId="0" xfId="0" applyNumberFormat="1" applyFill="1"/>
    <xf numFmtId="4" fontId="0" fillId="3" borderId="0" xfId="0" applyNumberFormat="1" applyFill="1"/>
    <xf numFmtId="164" fontId="4" fillId="0" borderId="0" xfId="0" applyNumberFormat="1" applyFont="1"/>
    <xf numFmtId="0" fontId="10" fillId="0" borderId="0" xfId="0" applyFont="1"/>
    <xf numFmtId="4" fontId="11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/>
    <xf numFmtId="164" fontId="0" fillId="0" borderId="0" xfId="0" applyNumberFormat="1" applyAlignment="1">
      <alignment horizontal="right"/>
    </xf>
    <xf numFmtId="0" fontId="11" fillId="0" borderId="0" xfId="0" applyFont="1"/>
    <xf numFmtId="2" fontId="11" fillId="0" borderId="0" xfId="0" applyNumberFormat="1" applyFont="1"/>
    <xf numFmtId="0" fontId="10" fillId="3" borderId="0" xfId="0" applyFont="1" applyFill="1"/>
    <xf numFmtId="164" fontId="11" fillId="4" borderId="0" xfId="0" applyNumberFormat="1" applyFont="1" applyFill="1"/>
    <xf numFmtId="164" fontId="10" fillId="4" borderId="0" xfId="0" applyNumberFormat="1" applyFont="1" applyFill="1"/>
    <xf numFmtId="164" fontId="10" fillId="3" borderId="0" xfId="0" applyNumberFormat="1" applyFont="1" applyFill="1"/>
    <xf numFmtId="4" fontId="10" fillId="3" borderId="0" xfId="0" applyNumberFormat="1" applyFont="1" applyFill="1"/>
    <xf numFmtId="164" fontId="10" fillId="3" borderId="0" xfId="0" applyNumberFormat="1" applyFont="1" applyFill="1" applyAlignment="1">
      <alignment horizontal="right"/>
    </xf>
    <xf numFmtId="164" fontId="11" fillId="6" borderId="0" xfId="0" applyNumberFormat="1" applyFont="1" applyFill="1"/>
    <xf numFmtId="0" fontId="1" fillId="7" borderId="0" xfId="0" applyFont="1" applyFill="1"/>
    <xf numFmtId="0" fontId="7" fillId="7" borderId="0" xfId="0" applyFont="1" applyFill="1"/>
    <xf numFmtId="164" fontId="1" fillId="7" borderId="0" xfId="0" applyNumberFormat="1" applyFont="1" applyFill="1"/>
    <xf numFmtId="4" fontId="1" fillId="7" borderId="0" xfId="0" applyNumberFormat="1" applyFont="1" applyFill="1"/>
    <xf numFmtId="4" fontId="7" fillId="0" borderId="0" xfId="0" applyNumberFormat="1" applyFont="1"/>
    <xf numFmtId="0" fontId="10" fillId="7" borderId="0" xfId="0" applyFont="1" applyFill="1"/>
    <xf numFmtId="0" fontId="12" fillId="7" borderId="0" xfId="0" applyFont="1" applyFill="1"/>
    <xf numFmtId="164" fontId="11" fillId="7" borderId="0" xfId="0" applyNumberFormat="1" applyFont="1" applyFill="1"/>
    <xf numFmtId="164" fontId="10" fillId="7" borderId="0" xfId="0" applyNumberFormat="1" applyFont="1" applyFill="1"/>
    <xf numFmtId="4" fontId="10" fillId="7" borderId="0" xfId="0" applyNumberFormat="1" applyFont="1" applyFill="1"/>
    <xf numFmtId="0" fontId="13" fillId="0" borderId="0" xfId="0" applyFont="1"/>
    <xf numFmtId="164" fontId="14" fillId="0" borderId="0" xfId="0" applyNumberFormat="1" applyFont="1"/>
    <xf numFmtId="164" fontId="13" fillId="0" borderId="0" xfId="0" applyNumberFormat="1" applyFont="1"/>
    <xf numFmtId="4" fontId="13" fillId="0" borderId="0" xfId="0" applyNumberFormat="1" applyFont="1"/>
    <xf numFmtId="0" fontId="2" fillId="0" borderId="0" xfId="0" applyFont="1" applyAlignment="1">
      <alignment wrapText="1"/>
    </xf>
    <xf numFmtId="0" fontId="1" fillId="8" borderId="0" xfId="0" applyFont="1" applyFill="1"/>
    <xf numFmtId="0" fontId="7" fillId="8" borderId="0" xfId="0" applyFont="1" applyFill="1"/>
    <xf numFmtId="164" fontId="1" fillId="8" borderId="0" xfId="0" applyNumberFormat="1" applyFont="1" applyFill="1"/>
    <xf numFmtId="4" fontId="1" fillId="8" borderId="0" xfId="0" applyNumberFormat="1" applyFont="1" applyFill="1"/>
    <xf numFmtId="0" fontId="0" fillId="8" borderId="0" xfId="0" applyFill="1"/>
    <xf numFmtId="164" fontId="4" fillId="9" borderId="0" xfId="0" applyNumberFormat="1" applyFont="1" applyFill="1"/>
    <xf numFmtId="164" fontId="0" fillId="8" borderId="0" xfId="0" applyNumberFormat="1" applyFill="1"/>
    <xf numFmtId="0" fontId="1" fillId="10" borderId="0" xfId="0" applyFont="1" applyFill="1"/>
    <xf numFmtId="0" fontId="7" fillId="10" borderId="0" xfId="0" applyFont="1" applyFill="1"/>
    <xf numFmtId="164" fontId="1" fillId="10" borderId="0" xfId="0" applyNumberFormat="1" applyFont="1" applyFill="1"/>
    <xf numFmtId="4" fontId="1" fillId="10" borderId="0" xfId="0" applyNumberFormat="1" applyFont="1" applyFill="1"/>
    <xf numFmtId="17" fontId="0" fillId="0" borderId="0" xfId="0" applyNumberFormat="1"/>
    <xf numFmtId="165" fontId="0" fillId="0" borderId="0" xfId="0" applyNumberFormat="1"/>
    <xf numFmtId="164" fontId="7" fillId="0" borderId="0" xfId="0" applyNumberFormat="1" applyFont="1"/>
    <xf numFmtId="165" fontId="1" fillId="0" borderId="0" xfId="0" applyNumberFormat="1" applyFont="1"/>
    <xf numFmtId="3" fontId="4" fillId="0" borderId="0" xfId="0" applyNumberFormat="1" applyFont="1"/>
    <xf numFmtId="0" fontId="15" fillId="0" borderId="0" xfId="0" applyFont="1"/>
    <xf numFmtId="164" fontId="16" fillId="0" borderId="0" xfId="0" applyNumberFormat="1" applyFont="1"/>
    <xf numFmtId="4" fontId="17" fillId="0" borderId="0" xfId="0" applyNumberFormat="1" applyFont="1"/>
    <xf numFmtId="4" fontId="15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2" fontId="4" fillId="0" borderId="0" xfId="0" applyNumberFormat="1" applyFont="1"/>
    <xf numFmtId="4" fontId="18" fillId="5" borderId="0" xfId="0" applyNumberFormat="1" applyFont="1" applyFill="1"/>
    <xf numFmtId="4" fontId="19" fillId="0" borderId="0" xfId="0" applyNumberFormat="1" applyFont="1"/>
    <xf numFmtId="4" fontId="20" fillId="0" borderId="0" xfId="0" applyNumberFormat="1" applyFont="1"/>
    <xf numFmtId="4" fontId="21" fillId="0" borderId="0" xfId="0" applyNumberFormat="1" applyFont="1"/>
    <xf numFmtId="4" fontId="22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na Aakkula" id="{A7B56609-10B7-4609-9E4F-49CEF2D6F2AC}" userId="S::jonna.aakkula@skml.fi::f1a7e143-8a19-4d26-87d3-eed1a176dcf8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5" dT="2022-05-11T12:53:52.23" personId="{A7B56609-10B7-4609-9E4F-49CEF2D6F2AC}" id="{F4E49B47-EE20-473E-B203-02EF9A578636}">
    <text>Varauduttu henkilöstön kannustinpalkkioihin</text>
  </threadedComment>
  <threadedComment ref="C52" dT="2022-04-08T11:21:26.33" personId="{A7B56609-10B7-4609-9E4F-49CEF2D6F2AC}" id="{8EAB6285-90C5-4C4D-AF20-0FF6A1331042}">
    <text>Varauduttu pitkän tähtäimen toimintasuunnitelman osallistavaan työskentelyyn</text>
  </threadedComment>
  <threadedComment ref="C72" dT="2022-04-08T11:23:20.42" personId="{A7B56609-10B7-4609-9E4F-49CEF2D6F2AC}" id="{291BC004-30A0-4EFF-8544-A4629A1D10E1}">
    <text>Varauduttu verkkokoulutuksien palkkioihin</text>
  </threadedComment>
  <threadedComment ref="C92" dT="2022-05-11T12:55:02.17" personId="{A7B56609-10B7-4609-9E4F-49CEF2D6F2AC}" id="{DF8577B1-BB7B-4DAE-9471-9411147B84F6}">
    <text>Varauduttu korottamaan piirien toimirahaa</text>
  </threadedComment>
  <threadedComment ref="C124" dT="2022-05-11T12:56:42.35" personId="{A7B56609-10B7-4609-9E4F-49CEF2D6F2AC}" id="{10A38D95-F0D5-49CD-BC3C-336068C8DD61}">
    <text>Kirkkomusiikki-lehden uudelleenorganisoituminen, lehti osana liiton toimintaa.</text>
  </threadedComment>
  <threadedComment ref="C167" dT="2022-05-11T12:58:10.37" personId="{A7B56609-10B7-4609-9E4F-49CEF2D6F2AC}" id="{F30ADC39-B4BE-4AE4-81D9-66BF22A532E1}">
    <text>Sijoitetaan tuottavasti Tollinpolun osakkeen myyntitulo, Kirkkomusiikki-lehden varallisuus ja liiton varat.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61FA-BA97-4435-87E4-A2CE2CD51EE3}">
  <dimension ref="A1:R208"/>
  <sheetViews>
    <sheetView tabSelected="1" topLeftCell="A170" zoomScale="76" workbookViewId="0">
      <selection activeCell="A196" sqref="A196"/>
    </sheetView>
  </sheetViews>
  <sheetFormatPr defaultRowHeight="14.5" x14ac:dyDescent="0.35"/>
  <cols>
    <col min="2" max="2" width="35.453125" customWidth="1"/>
    <col min="3" max="3" width="23.90625" customWidth="1"/>
    <col min="4" max="5" width="20.1796875" style="3" customWidth="1"/>
    <col min="6" max="6" width="17.453125" customWidth="1"/>
    <col min="7" max="7" width="22.81640625" customWidth="1"/>
    <col min="8" max="8" width="18.54296875" customWidth="1"/>
    <col min="9" max="9" width="21.7265625" customWidth="1"/>
    <col min="10" max="10" width="15.7265625" customWidth="1"/>
    <col min="11" max="11" width="16.54296875" customWidth="1"/>
    <col min="12" max="12" width="17.26953125" customWidth="1"/>
    <col min="13" max="13" width="30.453125" style="4" customWidth="1"/>
  </cols>
  <sheetData>
    <row r="1" spans="1:12" ht="15.5" x14ac:dyDescent="0.35">
      <c r="A1" s="5" t="s">
        <v>0</v>
      </c>
      <c r="C1" s="6" t="s">
        <v>139</v>
      </c>
      <c r="D1" s="6" t="s">
        <v>1</v>
      </c>
      <c r="E1" s="11" t="s">
        <v>2</v>
      </c>
      <c r="F1" s="7" t="s">
        <v>2</v>
      </c>
      <c r="G1" s="7" t="s">
        <v>2</v>
      </c>
      <c r="H1" s="7" t="s">
        <v>2</v>
      </c>
      <c r="I1" s="7" t="s">
        <v>2</v>
      </c>
      <c r="J1" s="7" t="s">
        <v>2</v>
      </c>
      <c r="K1" s="7" t="s">
        <v>2</v>
      </c>
      <c r="L1" s="8" t="s">
        <v>3</v>
      </c>
    </row>
    <row r="2" spans="1:12" x14ac:dyDescent="0.35">
      <c r="C2" s="9" t="s">
        <v>138</v>
      </c>
      <c r="D2" s="9" t="s">
        <v>4</v>
      </c>
      <c r="E2" s="10" t="s">
        <v>5</v>
      </c>
      <c r="F2" s="11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8" t="s">
        <v>12</v>
      </c>
    </row>
    <row r="3" spans="1:12" ht="15.5" x14ac:dyDescent="0.35">
      <c r="A3" s="13"/>
      <c r="H3" s="14"/>
      <c r="I3" s="14"/>
      <c r="J3" s="12"/>
      <c r="K3" s="12"/>
      <c r="L3" s="8"/>
    </row>
    <row r="4" spans="1:12" x14ac:dyDescent="0.35">
      <c r="A4" s="8" t="s">
        <v>13</v>
      </c>
      <c r="H4" s="15"/>
      <c r="I4" s="15"/>
      <c r="J4" s="16"/>
      <c r="K4" s="16"/>
      <c r="L4" s="16"/>
    </row>
    <row r="5" spans="1:12" x14ac:dyDescent="0.35">
      <c r="H5" s="15"/>
      <c r="I5" s="15"/>
      <c r="J5" s="16"/>
      <c r="K5" s="16"/>
      <c r="L5" s="16"/>
    </row>
    <row r="6" spans="1:12" x14ac:dyDescent="0.35">
      <c r="A6" s="17" t="s">
        <v>14</v>
      </c>
      <c r="B6" s="17"/>
      <c r="C6" s="17"/>
      <c r="D6" s="18"/>
      <c r="E6" s="18"/>
      <c r="F6" s="17"/>
      <c r="G6" s="17"/>
      <c r="H6" s="19"/>
      <c r="I6" s="19"/>
      <c r="J6" s="20"/>
      <c r="K6" s="20"/>
      <c r="L6" s="20"/>
    </row>
    <row r="7" spans="1:12" x14ac:dyDescent="0.35">
      <c r="F7" s="8"/>
      <c r="G7" s="15"/>
      <c r="H7" s="15"/>
      <c r="I7" s="15"/>
      <c r="J7" s="16"/>
      <c r="K7" s="16"/>
      <c r="L7" s="16"/>
    </row>
    <row r="8" spans="1:12" x14ac:dyDescent="0.35">
      <c r="A8" t="s">
        <v>15</v>
      </c>
      <c r="G8" s="15"/>
      <c r="H8" s="15"/>
      <c r="I8" s="15"/>
      <c r="J8" s="16"/>
      <c r="K8" s="16"/>
      <c r="L8" s="16"/>
    </row>
    <row r="9" spans="1:12" x14ac:dyDescent="0.35">
      <c r="A9">
        <v>3100</v>
      </c>
      <c r="B9" t="s">
        <v>16</v>
      </c>
      <c r="C9">
        <v>16000</v>
      </c>
      <c r="D9" s="3">
        <v>12500</v>
      </c>
      <c r="E9" s="22">
        <v>9571.75</v>
      </c>
      <c r="F9" s="21">
        <v>7896.15</v>
      </c>
      <c r="G9" s="15">
        <v>7573.47</v>
      </c>
      <c r="H9" s="15">
        <v>17967.05</v>
      </c>
      <c r="I9" s="15">
        <v>23796.09</v>
      </c>
      <c r="J9" s="16">
        <v>24293.439999999999</v>
      </c>
      <c r="K9" s="16">
        <v>31519.83</v>
      </c>
      <c r="L9" s="16">
        <f>24936.14+8923.7+5654.02+24.8</f>
        <v>39538.660000000003</v>
      </c>
    </row>
    <row r="10" spans="1:12" x14ac:dyDescent="0.35">
      <c r="A10">
        <v>3101</v>
      </c>
      <c r="B10" t="s">
        <v>17</v>
      </c>
      <c r="C10">
        <v>0</v>
      </c>
      <c r="D10" s="3">
        <v>250</v>
      </c>
      <c r="E10" s="3">
        <v>0</v>
      </c>
      <c r="F10" s="21">
        <v>-227</v>
      </c>
      <c r="G10" s="15">
        <v>457</v>
      </c>
      <c r="H10" s="15">
        <v>1587.78</v>
      </c>
      <c r="I10" s="15">
        <v>4804.1000000000004</v>
      </c>
      <c r="J10" s="16">
        <v>5360.83</v>
      </c>
      <c r="K10" s="16">
        <v>10571.61</v>
      </c>
      <c r="L10" s="16">
        <v>1042.58</v>
      </c>
    </row>
    <row r="11" spans="1:12" x14ac:dyDescent="0.35">
      <c r="A11">
        <v>3103</v>
      </c>
      <c r="B11" t="s">
        <v>18</v>
      </c>
      <c r="C11">
        <v>0</v>
      </c>
      <c r="E11" s="3">
        <v>0</v>
      </c>
      <c r="F11" s="21">
        <v>140</v>
      </c>
      <c r="G11" s="15">
        <v>307</v>
      </c>
      <c r="H11" s="15"/>
      <c r="I11" s="15"/>
      <c r="J11" s="16"/>
      <c r="K11" s="16"/>
      <c r="L11" s="16"/>
    </row>
    <row r="12" spans="1:12" x14ac:dyDescent="0.35">
      <c r="A12">
        <v>3108</v>
      </c>
      <c r="B12" t="s">
        <v>19</v>
      </c>
      <c r="C12">
        <v>1700</v>
      </c>
      <c r="D12" s="3">
        <v>1700</v>
      </c>
      <c r="E12" s="3">
        <v>949.36</v>
      </c>
      <c r="F12" s="21">
        <v>908.75</v>
      </c>
      <c r="G12" s="15">
        <v>1805.87</v>
      </c>
      <c r="H12" s="15">
        <v>2858.81</v>
      </c>
      <c r="I12" s="15">
        <v>2919.66</v>
      </c>
      <c r="J12" s="16">
        <v>1284.5</v>
      </c>
      <c r="K12" s="16">
        <v>1780.9</v>
      </c>
      <c r="L12" s="22">
        <v>0</v>
      </c>
    </row>
    <row r="13" spans="1:12" x14ac:dyDescent="0.35">
      <c r="A13" s="8" t="s">
        <v>15</v>
      </c>
      <c r="B13" s="8"/>
      <c r="C13" s="8">
        <f>SUM(C9:C12)</f>
        <v>17700</v>
      </c>
      <c r="D13" s="23">
        <f>SUM(D6:D12)</f>
        <v>14450</v>
      </c>
      <c r="E13" s="55">
        <f>E9+E12</f>
        <v>10521.11</v>
      </c>
      <c r="F13" s="24">
        <f>SUM(F9:F12)</f>
        <v>8717.9</v>
      </c>
      <c r="G13" s="24">
        <f t="shared" ref="G13:L13" si="0">SUM(G6:G12)</f>
        <v>10143.34</v>
      </c>
      <c r="H13" s="24">
        <f t="shared" si="0"/>
        <v>22413.64</v>
      </c>
      <c r="I13" s="24">
        <f t="shared" si="0"/>
        <v>31519.850000000002</v>
      </c>
      <c r="J13" s="25">
        <f t="shared" si="0"/>
        <v>30938.769999999997</v>
      </c>
      <c r="K13" s="25">
        <f t="shared" si="0"/>
        <v>43872.340000000004</v>
      </c>
      <c r="L13" s="16">
        <f t="shared" si="0"/>
        <v>40581.240000000005</v>
      </c>
    </row>
    <row r="14" spans="1:12" x14ac:dyDescent="0.35">
      <c r="F14" s="16"/>
      <c r="G14" s="15"/>
      <c r="H14" s="15"/>
      <c r="I14" s="15"/>
      <c r="J14" s="16"/>
      <c r="K14" s="16"/>
      <c r="L14" s="16"/>
    </row>
    <row r="15" spans="1:12" x14ac:dyDescent="0.35">
      <c r="A15" t="s">
        <v>20</v>
      </c>
      <c r="F15" s="16"/>
      <c r="G15" s="15"/>
      <c r="H15" s="15"/>
      <c r="I15" s="15"/>
      <c r="J15" s="16"/>
      <c r="K15" s="16"/>
      <c r="L15" s="16"/>
    </row>
    <row r="16" spans="1:12" x14ac:dyDescent="0.35">
      <c r="A16">
        <v>4100</v>
      </c>
      <c r="B16" t="s">
        <v>21</v>
      </c>
      <c r="C16">
        <v>9000</v>
      </c>
      <c r="D16" s="3">
        <v>8000</v>
      </c>
      <c r="E16" s="22">
        <v>1451.78</v>
      </c>
      <c r="F16" s="16">
        <v>1418.37</v>
      </c>
      <c r="G16" s="15">
        <v>10539.24</v>
      </c>
      <c r="H16" s="15">
        <v>4152.3900000000003</v>
      </c>
      <c r="I16" s="15">
        <v>21035.88</v>
      </c>
      <c r="J16" s="16">
        <v>12117.41</v>
      </c>
      <c r="K16" s="16">
        <v>18497.86</v>
      </c>
      <c r="L16" s="16">
        <f>17382.31+11197.73+2592.01</f>
        <v>31172.050000000003</v>
      </c>
    </row>
    <row r="17" spans="1:12" x14ac:dyDescent="0.35">
      <c r="A17">
        <v>4106</v>
      </c>
      <c r="B17" t="s">
        <v>22</v>
      </c>
      <c r="C17">
        <v>4000</v>
      </c>
      <c r="D17" s="3">
        <v>2000</v>
      </c>
      <c r="E17" s="3">
        <v>886.27</v>
      </c>
      <c r="F17" s="16">
        <v>1154.4000000000001</v>
      </c>
      <c r="G17" s="15">
        <v>4059.14</v>
      </c>
      <c r="H17" s="15">
        <v>3412</v>
      </c>
      <c r="I17" s="15">
        <v>1169.72</v>
      </c>
      <c r="J17" s="16">
        <v>1917.88</v>
      </c>
      <c r="K17" s="16">
        <v>3709.32</v>
      </c>
      <c r="L17" s="16">
        <f>452.13+6273.28</f>
        <v>6725.41</v>
      </c>
    </row>
    <row r="18" spans="1:12" x14ac:dyDescent="0.35">
      <c r="A18">
        <v>4108</v>
      </c>
      <c r="B18" t="s">
        <v>23</v>
      </c>
      <c r="C18">
        <v>1000</v>
      </c>
      <c r="D18" s="3">
        <v>2000</v>
      </c>
      <c r="E18" s="22">
        <v>1057.8599999999999</v>
      </c>
      <c r="F18" s="16">
        <v>4273.95</v>
      </c>
      <c r="G18" s="15">
        <v>5806.66</v>
      </c>
      <c r="H18" s="15">
        <v>7729.78</v>
      </c>
      <c r="I18" s="15">
        <v>-2912.74</v>
      </c>
      <c r="J18" s="16">
        <v>1678.77</v>
      </c>
      <c r="K18" s="16">
        <v>5321.18</v>
      </c>
      <c r="L18" s="16">
        <v>1734.76</v>
      </c>
    </row>
    <row r="19" spans="1:12" x14ac:dyDescent="0.35">
      <c r="A19" s="8" t="s">
        <v>24</v>
      </c>
      <c r="B19" s="8"/>
      <c r="C19" s="8">
        <f t="shared" ref="C19:L19" si="1">SUM(C16:C18)</f>
        <v>14000</v>
      </c>
      <c r="D19" s="23">
        <f t="shared" si="1"/>
        <v>12000</v>
      </c>
      <c r="E19" s="55">
        <f t="shared" si="1"/>
        <v>3395.91</v>
      </c>
      <c r="F19" s="16">
        <f t="shared" si="1"/>
        <v>6846.7199999999993</v>
      </c>
      <c r="G19" s="24">
        <f t="shared" si="1"/>
        <v>20405.04</v>
      </c>
      <c r="H19" s="24">
        <f t="shared" si="1"/>
        <v>15294.17</v>
      </c>
      <c r="I19" s="24">
        <f t="shared" si="1"/>
        <v>19292.86</v>
      </c>
      <c r="J19" s="25">
        <f t="shared" si="1"/>
        <v>15714.060000000001</v>
      </c>
      <c r="K19" s="25">
        <f t="shared" si="1"/>
        <v>27528.36</v>
      </c>
      <c r="L19" s="16">
        <f t="shared" si="1"/>
        <v>39632.220000000008</v>
      </c>
    </row>
    <row r="20" spans="1:12" x14ac:dyDescent="0.35">
      <c r="F20" s="16"/>
      <c r="G20" s="15"/>
      <c r="H20" s="15"/>
      <c r="I20" s="15"/>
      <c r="J20" s="16"/>
      <c r="K20" s="16"/>
      <c r="L20" s="16"/>
    </row>
    <row r="21" spans="1:12" x14ac:dyDescent="0.35">
      <c r="A21" s="26" t="s">
        <v>25</v>
      </c>
      <c r="B21" s="26"/>
      <c r="C21" s="26">
        <f>C13-C19</f>
        <v>3700</v>
      </c>
      <c r="D21" s="27">
        <f>D13-D19</f>
        <v>2450</v>
      </c>
      <c r="E21" s="28">
        <f>E13-E19</f>
        <v>7125.2000000000007</v>
      </c>
      <c r="F21" s="20">
        <v>1871.1800000000003</v>
      </c>
      <c r="G21" s="29">
        <f t="shared" ref="G21:L21" si="2">G13-G19</f>
        <v>-10261.700000000001</v>
      </c>
      <c r="H21" s="29">
        <f t="shared" si="2"/>
        <v>7119.4699999999993</v>
      </c>
      <c r="I21" s="29">
        <f t="shared" si="2"/>
        <v>12226.990000000002</v>
      </c>
      <c r="J21" s="30">
        <f t="shared" si="2"/>
        <v>15224.709999999995</v>
      </c>
      <c r="K21" s="30">
        <f t="shared" si="2"/>
        <v>16343.980000000003</v>
      </c>
      <c r="L21" s="30">
        <f t="shared" si="2"/>
        <v>949.0199999999968</v>
      </c>
    </row>
    <row r="22" spans="1:12" x14ac:dyDescent="0.35">
      <c r="G22" s="15"/>
      <c r="H22" s="15"/>
      <c r="I22" s="15"/>
      <c r="J22" s="16"/>
      <c r="K22" s="16"/>
    </row>
    <row r="23" spans="1:12" x14ac:dyDescent="0.35">
      <c r="A23" s="31" t="s">
        <v>26</v>
      </c>
      <c r="B23" s="32"/>
      <c r="C23" s="32"/>
      <c r="D23" s="33"/>
      <c r="E23" s="33"/>
      <c r="F23" s="32"/>
      <c r="G23" s="34"/>
      <c r="H23" s="34"/>
      <c r="I23" s="34"/>
      <c r="J23" s="35"/>
      <c r="K23" s="35"/>
      <c r="L23" s="35"/>
    </row>
    <row r="24" spans="1:12" x14ac:dyDescent="0.35">
      <c r="G24" s="15"/>
      <c r="H24" s="15"/>
      <c r="I24" s="15"/>
      <c r="J24" s="16"/>
      <c r="K24" s="16"/>
    </row>
    <row r="25" spans="1:12" x14ac:dyDescent="0.35">
      <c r="A25" t="s">
        <v>27</v>
      </c>
      <c r="G25" s="15"/>
      <c r="H25" s="15"/>
      <c r="I25" s="15"/>
      <c r="J25" s="16"/>
      <c r="K25" s="16"/>
    </row>
    <row r="26" spans="1:12" x14ac:dyDescent="0.35">
      <c r="G26" s="15"/>
      <c r="H26" s="15"/>
      <c r="I26" s="15"/>
      <c r="J26" s="16"/>
      <c r="K26" s="16"/>
    </row>
    <row r="27" spans="1:12" x14ac:dyDescent="0.35">
      <c r="A27" t="s">
        <v>28</v>
      </c>
      <c r="B27" t="s">
        <v>29</v>
      </c>
      <c r="G27" s="15"/>
      <c r="H27" s="15"/>
      <c r="I27" s="15"/>
      <c r="J27" s="16"/>
      <c r="K27" s="16" t="s">
        <v>29</v>
      </c>
    </row>
    <row r="28" spans="1:12" x14ac:dyDescent="0.35">
      <c r="A28" s="3">
        <v>5100</v>
      </c>
      <c r="B28" s="3" t="s">
        <v>28</v>
      </c>
      <c r="C28" s="3"/>
      <c r="D28" s="3">
        <v>90000</v>
      </c>
      <c r="F28" s="16">
        <v>87770.62</v>
      </c>
      <c r="G28" s="36">
        <v>82135.23</v>
      </c>
      <c r="H28" s="36">
        <v>106471.35</v>
      </c>
      <c r="I28" s="36">
        <v>82271.429999999993</v>
      </c>
      <c r="J28" s="16">
        <v>81967.179999999993</v>
      </c>
      <c r="K28" s="16">
        <v>84654.5</v>
      </c>
      <c r="L28" s="16">
        <f>20919.03+31763.9+32014.31+7170.04</f>
        <v>91867.28</v>
      </c>
    </row>
    <row r="29" spans="1:12" x14ac:dyDescent="0.35">
      <c r="A29" s="3">
        <v>5110</v>
      </c>
      <c r="B29" s="3" t="s">
        <v>30</v>
      </c>
      <c r="C29" s="3"/>
      <c r="D29" s="3">
        <v>2000</v>
      </c>
      <c r="E29" s="89">
        <v>700</v>
      </c>
      <c r="F29" s="16">
        <v>150</v>
      </c>
      <c r="G29" s="36">
        <v>2170</v>
      </c>
      <c r="H29" s="36">
        <v>1725</v>
      </c>
      <c r="I29" s="36">
        <v>2445</v>
      </c>
      <c r="J29" s="22">
        <v>1850</v>
      </c>
      <c r="K29" s="22">
        <v>1750</v>
      </c>
      <c r="L29" s="16">
        <f>2504</f>
        <v>2504</v>
      </c>
    </row>
    <row r="30" spans="1:12" x14ac:dyDescent="0.35">
      <c r="A30">
        <v>5111</v>
      </c>
      <c r="B30" t="s">
        <v>31</v>
      </c>
      <c r="D30" s="3">
        <v>2500</v>
      </c>
      <c r="E30" s="22">
        <v>3304.5</v>
      </c>
      <c r="F30" s="16">
        <v>3232</v>
      </c>
      <c r="G30" s="15">
        <v>1428</v>
      </c>
      <c r="H30" s="15">
        <v>2604</v>
      </c>
      <c r="I30" s="15">
        <v>1831</v>
      </c>
      <c r="J30" s="22">
        <v>1092</v>
      </c>
      <c r="K30" s="22">
        <v>1108</v>
      </c>
      <c r="L30" s="16">
        <f>840+1896.83</f>
        <v>2736.83</v>
      </c>
    </row>
    <row r="31" spans="1:12" x14ac:dyDescent="0.35">
      <c r="A31">
        <v>5114</v>
      </c>
      <c r="B31" t="s">
        <v>32</v>
      </c>
      <c r="D31" s="3">
        <v>1000</v>
      </c>
      <c r="F31" s="16">
        <v>525</v>
      </c>
      <c r="G31" s="15">
        <v>-291.04000000000002</v>
      </c>
      <c r="H31" s="15">
        <v>-3453.16</v>
      </c>
      <c r="I31" s="15">
        <v>50</v>
      </c>
      <c r="J31" s="22">
        <v>830</v>
      </c>
      <c r="K31" s="22">
        <v>1780</v>
      </c>
      <c r="L31" s="16">
        <f xml:space="preserve"> 902</f>
        <v>902</v>
      </c>
    </row>
    <row r="32" spans="1:12" x14ac:dyDescent="0.35">
      <c r="A32" s="8" t="s">
        <v>28</v>
      </c>
      <c r="B32" s="8"/>
      <c r="C32" s="8"/>
      <c r="D32" s="23"/>
      <c r="E32" s="23"/>
      <c r="F32" s="16">
        <v>2818.34</v>
      </c>
      <c r="G32" s="24">
        <f t="shared" ref="G32:L32" si="3">SUM(G28:G31)</f>
        <v>85442.19</v>
      </c>
      <c r="H32" s="24">
        <f t="shared" si="3"/>
        <v>107347.19</v>
      </c>
      <c r="I32" s="24">
        <f t="shared" si="3"/>
        <v>86597.43</v>
      </c>
      <c r="J32" s="25">
        <f t="shared" si="3"/>
        <v>85739.18</v>
      </c>
      <c r="K32" s="25">
        <f t="shared" si="3"/>
        <v>89292.5</v>
      </c>
      <c r="L32" s="16">
        <f t="shared" si="3"/>
        <v>98010.11</v>
      </c>
    </row>
    <row r="33" spans="1:12" x14ac:dyDescent="0.35">
      <c r="D33" s="23">
        <f>SUM(D28:D32)</f>
        <v>95500</v>
      </c>
      <c r="E33" s="55">
        <v>97322.27</v>
      </c>
      <c r="F33" s="25">
        <f>SUM(F28:F32)</f>
        <v>94495.959999999992</v>
      </c>
      <c r="G33" s="15"/>
      <c r="H33" s="15"/>
      <c r="I33" s="15"/>
      <c r="J33" s="16"/>
      <c r="K33" s="16"/>
      <c r="L33" s="16"/>
    </row>
    <row r="34" spans="1:12" x14ac:dyDescent="0.35">
      <c r="A34" t="s">
        <v>33</v>
      </c>
      <c r="B34" t="s">
        <v>29</v>
      </c>
      <c r="F34" s="16"/>
      <c r="G34" s="15"/>
      <c r="H34" s="15"/>
      <c r="I34" s="15"/>
      <c r="J34" s="16"/>
      <c r="K34" s="16" t="s">
        <v>29</v>
      </c>
      <c r="L34" s="16" t="s">
        <v>29</v>
      </c>
    </row>
    <row r="35" spans="1:12" x14ac:dyDescent="0.35">
      <c r="A35">
        <v>5106</v>
      </c>
      <c r="B35" t="s">
        <v>33</v>
      </c>
      <c r="D35" s="3">
        <v>17000</v>
      </c>
      <c r="E35" s="22">
        <v>15910.63</v>
      </c>
      <c r="F35" s="16">
        <v>13857.26</v>
      </c>
      <c r="G35" s="15">
        <v>13889.97</v>
      </c>
      <c r="H35" s="15">
        <v>21454.44</v>
      </c>
      <c r="I35" s="15">
        <v>14622.91</v>
      </c>
      <c r="J35" s="16">
        <v>14749.35</v>
      </c>
      <c r="K35" s="16">
        <v>15162</v>
      </c>
      <c r="L35" s="16">
        <f>-6176.97+21668.54</f>
        <v>15491.57</v>
      </c>
    </row>
    <row r="36" spans="1:12" x14ac:dyDescent="0.35">
      <c r="A36" s="8" t="s">
        <v>33</v>
      </c>
      <c r="B36" s="8"/>
      <c r="C36" s="8"/>
      <c r="D36" s="23">
        <f>SUM(D35)</f>
        <v>17000</v>
      </c>
      <c r="E36" s="55">
        <v>15910.63</v>
      </c>
      <c r="F36" s="25">
        <v>13857.26</v>
      </c>
      <c r="G36" s="24">
        <f t="shared" ref="G36:L36" si="4">SUM(G35)</f>
        <v>13889.97</v>
      </c>
      <c r="H36" s="24">
        <f t="shared" si="4"/>
        <v>21454.44</v>
      </c>
      <c r="I36" s="24">
        <f t="shared" si="4"/>
        <v>14622.91</v>
      </c>
      <c r="J36" s="25">
        <f t="shared" si="4"/>
        <v>14749.35</v>
      </c>
      <c r="K36" s="25">
        <f t="shared" si="4"/>
        <v>15162</v>
      </c>
      <c r="L36" s="16">
        <f t="shared" si="4"/>
        <v>15491.57</v>
      </c>
    </row>
    <row r="37" spans="1:12" x14ac:dyDescent="0.35">
      <c r="F37" s="16"/>
      <c r="G37" s="15"/>
      <c r="H37" s="15"/>
      <c r="I37" s="15"/>
      <c r="J37" s="16"/>
      <c r="K37" s="16"/>
      <c r="L37" s="16"/>
    </row>
    <row r="38" spans="1:12" x14ac:dyDescent="0.35">
      <c r="A38" t="s">
        <v>34</v>
      </c>
      <c r="F38" s="16"/>
      <c r="G38" s="15"/>
      <c r="H38" s="15"/>
      <c r="I38" s="15"/>
      <c r="J38" s="16"/>
      <c r="K38" s="16" t="s">
        <v>29</v>
      </c>
      <c r="L38" s="16" t="s">
        <v>29</v>
      </c>
    </row>
    <row r="39" spans="1:12" x14ac:dyDescent="0.35">
      <c r="A39">
        <v>5104</v>
      </c>
      <c r="B39" t="s">
        <v>35</v>
      </c>
      <c r="D39" s="3">
        <v>1000</v>
      </c>
      <c r="E39" s="3">
        <v>826.92</v>
      </c>
      <c r="F39" s="16">
        <v>27.25</v>
      </c>
      <c r="G39" s="15">
        <v>406.09</v>
      </c>
      <c r="H39" s="15">
        <v>866.54</v>
      </c>
      <c r="I39" s="15">
        <v>424.72</v>
      </c>
      <c r="J39" s="16">
        <v>1131.1400000000001</v>
      </c>
      <c r="K39" s="16">
        <v>867.33</v>
      </c>
      <c r="L39" s="16">
        <v>1156.05</v>
      </c>
    </row>
    <row r="40" spans="1:12" x14ac:dyDescent="0.35">
      <c r="A40">
        <v>5105</v>
      </c>
      <c r="B40" t="s">
        <v>36</v>
      </c>
      <c r="D40" s="3">
        <v>1500</v>
      </c>
      <c r="E40" s="22">
        <v>1398.45</v>
      </c>
      <c r="F40" s="16">
        <v>1084.9000000000001</v>
      </c>
      <c r="G40" s="15">
        <v>653.64</v>
      </c>
      <c r="H40" s="15">
        <v>928</v>
      </c>
      <c r="I40" s="15">
        <v>893.71</v>
      </c>
      <c r="J40" s="16">
        <v>1755.85</v>
      </c>
      <c r="K40" s="16">
        <v>1736.75</v>
      </c>
      <c r="L40" s="16">
        <v>2009.08</v>
      </c>
    </row>
    <row r="41" spans="1:12" x14ac:dyDescent="0.35">
      <c r="A41">
        <v>5108</v>
      </c>
      <c r="B41" t="s">
        <v>37</v>
      </c>
      <c r="D41" s="3">
        <v>1000</v>
      </c>
      <c r="E41" s="22">
        <v>1317.32</v>
      </c>
      <c r="F41" s="16">
        <v>693.55</v>
      </c>
      <c r="G41" s="15">
        <v>701.87</v>
      </c>
      <c r="H41" s="15">
        <v>681.64</v>
      </c>
      <c r="I41" s="15">
        <v>307.77999999999997</v>
      </c>
      <c r="J41" s="16">
        <v>752.45</v>
      </c>
      <c r="K41" s="16">
        <v>341.38</v>
      </c>
      <c r="L41" s="16">
        <v>919.35</v>
      </c>
    </row>
    <row r="42" spans="1:12" x14ac:dyDescent="0.35">
      <c r="B42" t="s">
        <v>38</v>
      </c>
      <c r="E42" s="3">
        <f>SUM(E39:E41)</f>
        <v>3542.6899999999996</v>
      </c>
      <c r="G42" s="15"/>
      <c r="H42" s="15"/>
      <c r="I42" s="15">
        <v>2219.56</v>
      </c>
      <c r="J42" s="16">
        <v>5340.36</v>
      </c>
      <c r="K42" s="16"/>
      <c r="L42" s="16"/>
    </row>
    <row r="43" spans="1:12" x14ac:dyDescent="0.35">
      <c r="A43" s="8" t="s">
        <v>34</v>
      </c>
      <c r="B43" s="8"/>
      <c r="C43" s="8"/>
      <c r="D43" s="23">
        <f>SUM(D39:D42)</f>
        <v>3500</v>
      </c>
      <c r="E43" s="55">
        <v>3600.61</v>
      </c>
      <c r="F43" s="25">
        <f>SUM(F39:F41)</f>
        <v>1805.7</v>
      </c>
      <c r="G43" s="24">
        <f>SUM(G39:G42)</f>
        <v>1761.6</v>
      </c>
      <c r="H43" s="24">
        <f>SUM(H39:H41)</f>
        <v>2476.1799999999998</v>
      </c>
      <c r="I43" s="24">
        <f>SUM(I39:I42)</f>
        <v>3845.77</v>
      </c>
      <c r="J43" s="25">
        <f>SUM(J39:J42)</f>
        <v>8979.7999999999993</v>
      </c>
      <c r="K43" s="25">
        <f>SUM(K39:K41)</f>
        <v>2945.46</v>
      </c>
      <c r="L43" s="16">
        <f>SUM(L39:L41)</f>
        <v>4084.48</v>
      </c>
    </row>
    <row r="44" spans="1:12" x14ac:dyDescent="0.35">
      <c r="B44" t="s">
        <v>39</v>
      </c>
      <c r="D44" s="16">
        <v>100</v>
      </c>
      <c r="E44" s="3">
        <v>303.27</v>
      </c>
      <c r="F44" s="16">
        <v>108.03</v>
      </c>
      <c r="G44" s="15"/>
      <c r="H44" s="15"/>
      <c r="I44" s="15"/>
      <c r="J44" s="16"/>
      <c r="K44" s="16"/>
      <c r="L44" s="16"/>
    </row>
    <row r="45" spans="1:12" x14ac:dyDescent="0.35">
      <c r="A45" s="37" t="s">
        <v>40</v>
      </c>
      <c r="B45" s="37"/>
      <c r="C45" s="37">
        <v>124000</v>
      </c>
      <c r="D45" s="38">
        <f>D44+D43+D36+D33</f>
        <v>116100</v>
      </c>
      <c r="E45" s="38">
        <f>E33+E36+E43+E44</f>
        <v>117136.78000000001</v>
      </c>
      <c r="F45" s="40">
        <f>F33+F36+F43+F44</f>
        <v>110266.94999999998</v>
      </c>
      <c r="G45" s="40">
        <f>G32+G36+G43</f>
        <v>101093.76000000001</v>
      </c>
      <c r="H45" s="40">
        <f>H32+H36+H43</f>
        <v>131277.81</v>
      </c>
      <c r="I45" s="40">
        <f>I32+I36+I43</f>
        <v>105066.11</v>
      </c>
      <c r="J45" s="39">
        <f>J32+J36+J43</f>
        <v>109468.33</v>
      </c>
      <c r="K45" s="39">
        <f>(K32+K36+K43)</f>
        <v>107399.96</v>
      </c>
      <c r="L45" s="16">
        <f>(L32+L36+L43)</f>
        <v>117586.15999999999</v>
      </c>
    </row>
    <row r="46" spans="1:12" x14ac:dyDescent="0.35">
      <c r="F46" s="16"/>
      <c r="G46" s="15"/>
      <c r="H46" s="15"/>
      <c r="I46" s="15"/>
      <c r="J46" s="16"/>
      <c r="K46" s="16"/>
      <c r="L46" s="16"/>
    </row>
    <row r="47" spans="1:12" x14ac:dyDescent="0.35">
      <c r="A47" t="s">
        <v>41</v>
      </c>
      <c r="F47" s="16"/>
      <c r="G47" s="15"/>
      <c r="H47" s="15"/>
      <c r="I47" s="15"/>
      <c r="J47" s="16"/>
      <c r="K47" s="16"/>
      <c r="L47" s="16"/>
    </row>
    <row r="48" spans="1:12" x14ac:dyDescent="0.35">
      <c r="A48">
        <v>9000</v>
      </c>
      <c r="B48" t="s">
        <v>41</v>
      </c>
      <c r="C48">
        <v>1000</v>
      </c>
      <c r="D48" s="3">
        <v>1000</v>
      </c>
      <c r="E48" s="22">
        <v>1265.3</v>
      </c>
      <c r="F48" s="16">
        <v>769.6</v>
      </c>
      <c r="G48" s="15">
        <v>1699.21</v>
      </c>
      <c r="H48" s="15">
        <v>2024.39</v>
      </c>
      <c r="I48" s="15">
        <v>2127.38</v>
      </c>
      <c r="J48" s="16">
        <v>2444</v>
      </c>
      <c r="K48" s="16">
        <v>1509.86</v>
      </c>
      <c r="L48" s="16">
        <v>2281.89</v>
      </c>
    </row>
    <row r="49" spans="1:12" x14ac:dyDescent="0.35">
      <c r="A49" t="s">
        <v>41</v>
      </c>
      <c r="C49">
        <f>SUM(C48)</f>
        <v>1000</v>
      </c>
      <c r="E49" s="22">
        <v>1265.3</v>
      </c>
      <c r="F49" s="16">
        <v>769.6</v>
      </c>
      <c r="G49" s="15">
        <f t="shared" ref="G49:L49" si="5">SUM(G48)</f>
        <v>1699.21</v>
      </c>
      <c r="H49" s="15">
        <f t="shared" si="5"/>
        <v>2024.39</v>
      </c>
      <c r="I49" s="15">
        <f t="shared" si="5"/>
        <v>2127.38</v>
      </c>
      <c r="J49" s="16">
        <f t="shared" si="5"/>
        <v>2444</v>
      </c>
      <c r="K49" s="16">
        <f t="shared" si="5"/>
        <v>1509.86</v>
      </c>
      <c r="L49" s="16">
        <f t="shared" si="5"/>
        <v>2281.89</v>
      </c>
    </row>
    <row r="50" spans="1:12" x14ac:dyDescent="0.35">
      <c r="F50" s="16"/>
      <c r="G50" s="15"/>
      <c r="H50" s="15"/>
      <c r="I50" s="15"/>
      <c r="J50" s="16"/>
      <c r="K50" s="16"/>
    </row>
    <row r="51" spans="1:12" x14ac:dyDescent="0.35">
      <c r="A51" t="s">
        <v>42</v>
      </c>
      <c r="F51" s="16"/>
      <c r="G51" s="15"/>
      <c r="H51" s="15"/>
      <c r="I51" s="15"/>
      <c r="J51" s="16"/>
      <c r="K51" s="16" t="s">
        <v>29</v>
      </c>
    </row>
    <row r="52" spans="1:12" x14ac:dyDescent="0.35">
      <c r="A52">
        <v>4205</v>
      </c>
      <c r="B52" t="s">
        <v>43</v>
      </c>
      <c r="C52">
        <v>5500</v>
      </c>
      <c r="D52" s="3">
        <v>3000</v>
      </c>
      <c r="E52" s="89">
        <v>914.6</v>
      </c>
      <c r="F52" s="16">
        <v>1807.65</v>
      </c>
      <c r="G52" s="15">
        <v>3928.08</v>
      </c>
      <c r="H52" s="15">
        <v>2225.3200000000002</v>
      </c>
      <c r="I52" s="15">
        <v>1185.1199999999999</v>
      </c>
      <c r="J52" s="22">
        <v>3273.84</v>
      </c>
      <c r="K52" s="22">
        <v>3420.07</v>
      </c>
      <c r="L52" s="16">
        <f>956.59+405</f>
        <v>1361.5900000000001</v>
      </c>
    </row>
    <row r="53" spans="1:12" x14ac:dyDescent="0.35">
      <c r="A53">
        <v>4207</v>
      </c>
      <c r="B53" t="s">
        <v>44</v>
      </c>
      <c r="C53">
        <v>1000</v>
      </c>
      <c r="D53" s="3">
        <v>1000</v>
      </c>
      <c r="F53" s="16"/>
      <c r="I53" s="15">
        <v>89</v>
      </c>
      <c r="J53" s="16">
        <v>996.92</v>
      </c>
      <c r="K53" s="16">
        <v>79</v>
      </c>
      <c r="L53" s="16">
        <v>499</v>
      </c>
    </row>
    <row r="54" spans="1:12" x14ac:dyDescent="0.35">
      <c r="A54">
        <v>4208</v>
      </c>
      <c r="B54" t="s">
        <v>45</v>
      </c>
      <c r="C54">
        <v>1300</v>
      </c>
      <c r="D54" s="3">
        <v>1300</v>
      </c>
      <c r="E54" s="3">
        <v>54.59</v>
      </c>
      <c r="F54" s="16">
        <v>1101.1400000000001</v>
      </c>
      <c r="G54" s="15">
        <v>333.25</v>
      </c>
      <c r="H54" s="15">
        <v>846.73</v>
      </c>
      <c r="I54" s="15">
        <v>1303.55</v>
      </c>
      <c r="J54" s="16">
        <v>1371.42</v>
      </c>
      <c r="K54" s="16">
        <v>1706.58</v>
      </c>
      <c r="L54" s="16">
        <v>271.32</v>
      </c>
    </row>
    <row r="55" spans="1:12" x14ac:dyDescent="0.35">
      <c r="A55">
        <v>4209</v>
      </c>
      <c r="B55" t="s">
        <v>46</v>
      </c>
      <c r="C55">
        <v>350</v>
      </c>
      <c r="D55" s="3">
        <v>350</v>
      </c>
      <c r="E55" s="89">
        <v>0</v>
      </c>
      <c r="F55" s="16">
        <v>242.35</v>
      </c>
      <c r="G55" s="15">
        <v>285.98</v>
      </c>
      <c r="H55" s="15">
        <v>362.2</v>
      </c>
      <c r="I55" s="15">
        <v>261.7</v>
      </c>
      <c r="J55" s="16">
        <v>408.2</v>
      </c>
      <c r="K55" s="16">
        <v>737.18</v>
      </c>
      <c r="L55" s="16">
        <v>536</v>
      </c>
    </row>
    <row r="56" spans="1:12" x14ac:dyDescent="0.35">
      <c r="A56">
        <v>4210</v>
      </c>
      <c r="B56" t="s">
        <v>47</v>
      </c>
      <c r="C56">
        <v>100</v>
      </c>
      <c r="D56" s="3">
        <v>100</v>
      </c>
      <c r="E56" s="89">
        <v>50</v>
      </c>
      <c r="F56" s="16">
        <v>32.4</v>
      </c>
      <c r="G56" s="15">
        <v>99.14</v>
      </c>
      <c r="H56" s="15">
        <v>43.51</v>
      </c>
      <c r="I56" s="15">
        <v>332.19</v>
      </c>
      <c r="J56" s="16">
        <v>9.1999999999999993</v>
      </c>
      <c r="K56" s="16">
        <v>37.5</v>
      </c>
      <c r="L56" s="16">
        <v>466.35</v>
      </c>
    </row>
    <row r="57" spans="1:12" x14ac:dyDescent="0.35">
      <c r="A57">
        <v>4211</v>
      </c>
      <c r="B57" t="s">
        <v>48</v>
      </c>
      <c r="C57">
        <v>3500</v>
      </c>
      <c r="D57" s="3">
        <v>4500</v>
      </c>
      <c r="E57" s="3">
        <v>709.22</v>
      </c>
      <c r="F57" s="16">
        <v>658.97</v>
      </c>
      <c r="G57" s="15">
        <v>4406.5200000000004</v>
      </c>
      <c r="H57" s="15">
        <v>6175.28</v>
      </c>
      <c r="I57" s="15">
        <v>7072.69</v>
      </c>
      <c r="J57" s="22">
        <v>5615.42</v>
      </c>
      <c r="K57" s="22">
        <v>10599.77</v>
      </c>
      <c r="L57" s="16">
        <f>6601+2115</f>
        <v>8716</v>
      </c>
    </row>
    <row r="58" spans="1:12" x14ac:dyDescent="0.35">
      <c r="A58">
        <v>4213</v>
      </c>
      <c r="B58" t="s">
        <v>49</v>
      </c>
      <c r="F58" s="16"/>
      <c r="G58" s="15"/>
      <c r="H58" s="15"/>
      <c r="I58" s="15">
        <v>0</v>
      </c>
      <c r="J58" s="22">
        <v>297</v>
      </c>
      <c r="K58" s="22">
        <v>0</v>
      </c>
      <c r="L58" s="22">
        <v>1577</v>
      </c>
    </row>
    <row r="59" spans="1:12" x14ac:dyDescent="0.35">
      <c r="A59">
        <v>4214</v>
      </c>
      <c r="B59" t="s">
        <v>50</v>
      </c>
      <c r="C59">
        <v>1500</v>
      </c>
      <c r="D59" s="3">
        <v>1300</v>
      </c>
      <c r="E59" s="89">
        <v>143.19999999999999</v>
      </c>
      <c r="F59" s="16">
        <v>2159.5</v>
      </c>
      <c r="G59" s="15">
        <v>1710.9</v>
      </c>
      <c r="H59" s="15">
        <v>781.14</v>
      </c>
      <c r="I59" s="15">
        <v>1014</v>
      </c>
      <c r="J59" s="22">
        <v>627.85</v>
      </c>
      <c r="K59" s="22">
        <v>722.57</v>
      </c>
      <c r="L59" s="22">
        <v>1210.68</v>
      </c>
    </row>
    <row r="60" spans="1:12" x14ac:dyDescent="0.35">
      <c r="A60">
        <v>4215</v>
      </c>
      <c r="B60" t="s">
        <v>51</v>
      </c>
      <c r="C60">
        <v>4500</v>
      </c>
      <c r="D60" s="3">
        <v>4500</v>
      </c>
      <c r="F60" s="16">
        <v>0</v>
      </c>
      <c r="G60" s="15">
        <v>4241.1000000000004</v>
      </c>
      <c r="H60" s="15"/>
      <c r="I60" s="15"/>
      <c r="J60" s="22">
        <v>5727</v>
      </c>
      <c r="K60" s="22"/>
      <c r="L60" s="22"/>
    </row>
    <row r="61" spans="1:12" x14ac:dyDescent="0.35">
      <c r="B61" t="s">
        <v>52</v>
      </c>
      <c r="F61" s="16"/>
      <c r="G61" s="15"/>
      <c r="H61" s="15"/>
      <c r="I61" s="15">
        <v>2653</v>
      </c>
      <c r="J61" s="22">
        <v>890.68</v>
      </c>
      <c r="K61" s="22"/>
      <c r="L61" s="22"/>
    </row>
    <row r="62" spans="1:12" x14ac:dyDescent="0.35">
      <c r="A62">
        <v>4218</v>
      </c>
      <c r="B62" t="s">
        <v>53</v>
      </c>
      <c r="C62">
        <v>700</v>
      </c>
      <c r="D62" s="3">
        <v>700</v>
      </c>
      <c r="E62" s="89">
        <v>0</v>
      </c>
      <c r="F62" s="16">
        <v>81.48</v>
      </c>
      <c r="G62" s="15">
        <v>667.53</v>
      </c>
      <c r="H62" s="15">
        <v>339.12</v>
      </c>
      <c r="I62" s="15">
        <v>1045.72</v>
      </c>
      <c r="J62" s="22">
        <v>737.05</v>
      </c>
      <c r="K62" s="22">
        <v>13107.49</v>
      </c>
      <c r="L62" s="22">
        <f>5936.3+1603</f>
        <v>7539.3</v>
      </c>
    </row>
    <row r="63" spans="1:12" x14ac:dyDescent="0.35">
      <c r="A63">
        <v>4219</v>
      </c>
      <c r="B63" t="s">
        <v>54</v>
      </c>
      <c r="C63">
        <v>200</v>
      </c>
      <c r="D63" s="3">
        <v>200</v>
      </c>
      <c r="E63" s="89">
        <v>346.1</v>
      </c>
      <c r="F63" s="16">
        <v>26</v>
      </c>
      <c r="G63" s="15">
        <v>131.44999999999999</v>
      </c>
      <c r="H63" s="15">
        <v>500.12</v>
      </c>
      <c r="I63" s="15">
        <v>621.38</v>
      </c>
      <c r="J63" s="41">
        <v>1304.3499999999999</v>
      </c>
      <c r="K63" s="22">
        <v>2141.5700000000002</v>
      </c>
      <c r="L63" s="22">
        <f>2017.56+483</f>
        <v>2500.56</v>
      </c>
    </row>
    <row r="64" spans="1:12" x14ac:dyDescent="0.35">
      <c r="A64">
        <v>4220</v>
      </c>
      <c r="B64" t="s">
        <v>55</v>
      </c>
      <c r="C64">
        <v>1500</v>
      </c>
      <c r="D64" s="3">
        <v>1300</v>
      </c>
      <c r="E64" s="22">
        <v>1351.6</v>
      </c>
      <c r="F64" s="16">
        <v>1357.8</v>
      </c>
      <c r="G64" s="15">
        <v>930</v>
      </c>
      <c r="H64" s="15">
        <v>868</v>
      </c>
      <c r="I64" s="15">
        <v>806</v>
      </c>
      <c r="J64" s="16">
        <v>1286</v>
      </c>
      <c r="K64" s="16">
        <v>1253.3</v>
      </c>
      <c r="L64" s="16">
        <v>1231</v>
      </c>
    </row>
    <row r="65" spans="1:12" x14ac:dyDescent="0.35">
      <c r="A65" s="3">
        <v>4221</v>
      </c>
      <c r="B65" s="3" t="s">
        <v>56</v>
      </c>
      <c r="C65" s="3"/>
      <c r="D65" s="3">
        <v>5000</v>
      </c>
      <c r="E65" s="22">
        <v>1972</v>
      </c>
      <c r="F65" s="16">
        <v>4088.7</v>
      </c>
      <c r="G65" s="36">
        <v>3596.48</v>
      </c>
      <c r="H65" s="36">
        <v>12513.74</v>
      </c>
      <c r="I65" s="15">
        <v>4933.49</v>
      </c>
      <c r="J65" s="16">
        <v>1249.25</v>
      </c>
      <c r="K65" s="16">
        <v>598.70000000000005</v>
      </c>
      <c r="L65" s="16">
        <v>568.16</v>
      </c>
    </row>
    <row r="66" spans="1:12" x14ac:dyDescent="0.35">
      <c r="A66">
        <v>4228</v>
      </c>
      <c r="B66" t="s">
        <v>57</v>
      </c>
      <c r="F66" s="16"/>
      <c r="G66" s="15"/>
      <c r="H66" s="15">
        <v>0</v>
      </c>
      <c r="I66" s="15"/>
      <c r="J66" s="22">
        <v>0</v>
      </c>
      <c r="K66" s="22">
        <v>100</v>
      </c>
      <c r="L66" s="16">
        <v>2036.75</v>
      </c>
    </row>
    <row r="67" spans="1:12" x14ac:dyDescent="0.35">
      <c r="A67">
        <v>4229</v>
      </c>
      <c r="B67" t="s">
        <v>58</v>
      </c>
      <c r="F67" s="16"/>
      <c r="G67" s="15"/>
      <c r="H67" s="15">
        <v>0</v>
      </c>
      <c r="I67" s="15"/>
      <c r="J67" s="16">
        <v>0</v>
      </c>
      <c r="K67" s="16">
        <v>0</v>
      </c>
      <c r="L67" s="16">
        <v>240.1</v>
      </c>
    </row>
    <row r="68" spans="1:12" x14ac:dyDescent="0.35">
      <c r="F68" s="16"/>
      <c r="G68" s="15"/>
      <c r="H68" s="15"/>
      <c r="I68" s="15"/>
      <c r="J68" s="16"/>
      <c r="K68" s="16"/>
      <c r="L68" s="16"/>
    </row>
    <row r="69" spans="1:12" x14ac:dyDescent="0.35">
      <c r="A69">
        <v>4230</v>
      </c>
      <c r="B69" t="s">
        <v>59</v>
      </c>
      <c r="D69" s="3">
        <v>7500</v>
      </c>
      <c r="E69" s="89">
        <v>0</v>
      </c>
      <c r="F69" s="16">
        <v>1373.34</v>
      </c>
      <c r="G69" s="15">
        <v>689.93</v>
      </c>
      <c r="H69" s="15">
        <v>9757.84</v>
      </c>
      <c r="J69" s="16">
        <v>0</v>
      </c>
      <c r="K69" s="16">
        <v>23.82</v>
      </c>
      <c r="L69" s="16">
        <v>592.94000000000005</v>
      </c>
    </row>
    <row r="70" spans="1:12" x14ac:dyDescent="0.35">
      <c r="B70" t="s">
        <v>60</v>
      </c>
      <c r="F70" s="16"/>
      <c r="G70" s="15"/>
      <c r="H70" s="15"/>
      <c r="J70" s="16"/>
      <c r="K70" s="16"/>
      <c r="L70" s="16"/>
    </row>
    <row r="71" spans="1:12" x14ac:dyDescent="0.35">
      <c r="B71" t="s">
        <v>61</v>
      </c>
      <c r="F71" s="16"/>
      <c r="G71" s="15"/>
      <c r="H71" s="15"/>
      <c r="J71" s="16"/>
      <c r="K71" s="16"/>
      <c r="L71" s="16"/>
    </row>
    <row r="72" spans="1:12" x14ac:dyDescent="0.35">
      <c r="A72">
        <v>4232</v>
      </c>
      <c r="B72" t="s">
        <v>62</v>
      </c>
      <c r="C72">
        <v>1000</v>
      </c>
      <c r="D72" s="3">
        <v>3000</v>
      </c>
      <c r="E72" s="22">
        <v>0</v>
      </c>
      <c r="F72" s="16">
        <v>100</v>
      </c>
      <c r="G72" s="15">
        <v>261.5</v>
      </c>
      <c r="H72" s="15">
        <v>5244</v>
      </c>
      <c r="I72" s="15">
        <v>2862.8</v>
      </c>
      <c r="J72" s="16">
        <v>4037.76</v>
      </c>
      <c r="K72" s="16">
        <v>0</v>
      </c>
      <c r="L72" s="16">
        <v>3301</v>
      </c>
    </row>
    <row r="73" spans="1:12" x14ac:dyDescent="0.35">
      <c r="B73" t="s">
        <v>63</v>
      </c>
      <c r="F73" s="16"/>
      <c r="G73" s="15"/>
      <c r="H73" s="15"/>
      <c r="I73" s="15"/>
      <c r="J73" s="16"/>
      <c r="K73" s="16"/>
      <c r="L73" s="16"/>
    </row>
    <row r="74" spans="1:12" x14ac:dyDescent="0.35">
      <c r="A74">
        <v>4233</v>
      </c>
      <c r="B74" t="s">
        <v>64</v>
      </c>
      <c r="D74" s="3">
        <v>1000</v>
      </c>
      <c r="F74" s="16"/>
      <c r="G74" s="15"/>
      <c r="H74" s="15">
        <v>605.75</v>
      </c>
      <c r="I74" s="15"/>
      <c r="J74" s="16"/>
      <c r="K74" s="16">
        <v>0</v>
      </c>
      <c r="L74" s="16">
        <v>1790.86</v>
      </c>
    </row>
    <row r="75" spans="1:12" x14ac:dyDescent="0.35">
      <c r="B75" t="s">
        <v>65</v>
      </c>
      <c r="C75">
        <v>1500</v>
      </c>
      <c r="D75" s="3">
        <v>1500</v>
      </c>
      <c r="F75" s="16">
        <v>500</v>
      </c>
      <c r="G75" s="15">
        <v>1509.9</v>
      </c>
      <c r="H75" s="15">
        <v>1500</v>
      </c>
      <c r="I75" s="15">
        <v>2240</v>
      </c>
      <c r="J75" s="16"/>
      <c r="K75" s="16"/>
      <c r="L75" s="16"/>
    </row>
    <row r="76" spans="1:12" x14ac:dyDescent="0.35">
      <c r="B76" t="s">
        <v>66</v>
      </c>
      <c r="F76" s="16">
        <v>0</v>
      </c>
      <c r="G76" s="15"/>
      <c r="H76" s="15"/>
      <c r="I76" s="15"/>
      <c r="J76" s="16">
        <v>1013.37</v>
      </c>
      <c r="K76" s="16"/>
      <c r="L76" s="16"/>
    </row>
    <row r="77" spans="1:12" x14ac:dyDescent="0.35">
      <c r="B77" t="s">
        <v>67</v>
      </c>
      <c r="D77" s="3">
        <v>500</v>
      </c>
      <c r="F77" s="16"/>
      <c r="G77" s="15"/>
      <c r="H77" s="15"/>
      <c r="I77" s="15"/>
      <c r="J77" s="16"/>
      <c r="K77" s="16"/>
      <c r="L77" s="16"/>
    </row>
    <row r="78" spans="1:12" x14ac:dyDescent="0.35">
      <c r="A78">
        <v>4236</v>
      </c>
      <c r="B78" t="s">
        <v>68</v>
      </c>
      <c r="C78">
        <v>150</v>
      </c>
      <c r="D78" s="3">
        <v>150</v>
      </c>
      <c r="F78" s="16"/>
      <c r="G78" s="15">
        <v>103.2</v>
      </c>
      <c r="H78" s="15">
        <v>413.46</v>
      </c>
      <c r="I78" s="15">
        <v>64.989999999999995</v>
      </c>
      <c r="J78" s="16">
        <v>100</v>
      </c>
      <c r="K78" s="16">
        <v>133.78</v>
      </c>
      <c r="L78" s="16">
        <v>1569.16</v>
      </c>
    </row>
    <row r="79" spans="1:12" x14ac:dyDescent="0.35">
      <c r="A79">
        <v>4237</v>
      </c>
      <c r="B79" t="s">
        <v>69</v>
      </c>
      <c r="C79">
        <v>1300</v>
      </c>
      <c r="D79" s="3">
        <v>1800</v>
      </c>
      <c r="E79" s="22">
        <v>1295</v>
      </c>
      <c r="F79" s="16">
        <v>795</v>
      </c>
      <c r="G79" s="15">
        <v>1495</v>
      </c>
      <c r="H79" s="15">
        <v>1495</v>
      </c>
      <c r="I79" s="15">
        <v>1495</v>
      </c>
      <c r="J79" s="16">
        <v>1472</v>
      </c>
      <c r="K79" s="16">
        <v>1422</v>
      </c>
      <c r="L79" s="16">
        <v>1422</v>
      </c>
    </row>
    <row r="80" spans="1:12" x14ac:dyDescent="0.35">
      <c r="B80" t="s">
        <v>70</v>
      </c>
      <c r="C80">
        <v>8000</v>
      </c>
      <c r="D80" s="3">
        <v>7500</v>
      </c>
      <c r="E80" s="22">
        <v>4791.78</v>
      </c>
      <c r="F80" s="16">
        <v>7615.03</v>
      </c>
      <c r="G80" s="15">
        <v>9214.9500000000007</v>
      </c>
      <c r="H80" s="15">
        <v>6314.77</v>
      </c>
      <c r="I80" s="15">
        <v>5597.53</v>
      </c>
      <c r="J80" s="16">
        <v>7032.39</v>
      </c>
      <c r="K80" s="16"/>
      <c r="L80" s="16"/>
    </row>
    <row r="81" spans="1:12" x14ac:dyDescent="0.35">
      <c r="B81" t="s">
        <v>71</v>
      </c>
      <c r="C81">
        <v>500</v>
      </c>
      <c r="D81" s="3">
        <v>500</v>
      </c>
      <c r="F81" s="16">
        <f>527.8+-5</f>
        <v>522.79999999999995</v>
      </c>
      <c r="G81" s="15"/>
      <c r="H81" s="15"/>
      <c r="I81" s="15"/>
      <c r="J81" s="16"/>
      <c r="K81" s="16"/>
      <c r="L81" s="16"/>
    </row>
    <row r="82" spans="1:12" x14ac:dyDescent="0.35">
      <c r="A82">
        <v>4239</v>
      </c>
      <c r="B82" t="s">
        <v>72</v>
      </c>
      <c r="C82">
        <v>3000</v>
      </c>
      <c r="D82" s="3">
        <v>3000</v>
      </c>
      <c r="E82" s="22">
        <v>1636.33</v>
      </c>
      <c r="F82" s="16">
        <v>2411.4</v>
      </c>
      <c r="G82" s="15">
        <v>2842.74</v>
      </c>
      <c r="H82" s="15">
        <v>4425.1099999999997</v>
      </c>
      <c r="I82" s="15">
        <v>3043.08</v>
      </c>
      <c r="J82" s="22">
        <v>4136.8500000000004</v>
      </c>
      <c r="K82" s="22">
        <v>10077.25</v>
      </c>
      <c r="L82" s="22">
        <f>493.52+9175.44</f>
        <v>9668.9600000000009</v>
      </c>
    </row>
    <row r="83" spans="1:12" x14ac:dyDescent="0.35">
      <c r="A83">
        <v>4244</v>
      </c>
      <c r="B83" t="s">
        <v>73</v>
      </c>
      <c r="C83">
        <v>3500</v>
      </c>
      <c r="D83" s="3">
        <v>2000</v>
      </c>
      <c r="E83" s="22">
        <v>1809.23</v>
      </c>
      <c r="F83" s="16">
        <v>2600.15</v>
      </c>
      <c r="G83" s="15">
        <v>2982</v>
      </c>
      <c r="H83" s="15">
        <v>3383.06</v>
      </c>
      <c r="I83" s="15"/>
      <c r="J83" s="22"/>
      <c r="K83" s="22"/>
      <c r="L83" s="22"/>
    </row>
    <row r="84" spans="1:12" x14ac:dyDescent="0.35">
      <c r="A84">
        <v>4245</v>
      </c>
      <c r="B84" t="s">
        <v>74</v>
      </c>
      <c r="C84">
        <v>0</v>
      </c>
      <c r="D84" s="3">
        <v>700</v>
      </c>
      <c r="E84" s="3">
        <v>68.58</v>
      </c>
      <c r="F84" s="16">
        <v>184.76</v>
      </c>
      <c r="G84" s="15">
        <v>1405.41</v>
      </c>
      <c r="H84" s="15"/>
      <c r="I84" s="15"/>
      <c r="J84" s="22"/>
      <c r="K84" s="22"/>
      <c r="L84" s="22"/>
    </row>
    <row r="85" spans="1:12" x14ac:dyDescent="0.35">
      <c r="A85">
        <v>4246</v>
      </c>
      <c r="B85" t="s">
        <v>75</v>
      </c>
      <c r="C85">
        <v>1500</v>
      </c>
      <c r="D85" s="3">
        <v>1500</v>
      </c>
      <c r="E85" s="22">
        <v>1264.3699999999999</v>
      </c>
      <c r="F85" s="16">
        <v>1213.21</v>
      </c>
      <c r="G85" s="15">
        <v>2173.2199999999998</v>
      </c>
      <c r="H85" s="15">
        <v>5630.93</v>
      </c>
      <c r="I85" s="15">
        <v>2399.67</v>
      </c>
      <c r="J85" s="16">
        <v>2314.06</v>
      </c>
      <c r="K85" s="16">
        <v>1896.54</v>
      </c>
      <c r="L85" s="16">
        <v>2635.1</v>
      </c>
    </row>
    <row r="86" spans="1:12" x14ac:dyDescent="0.35">
      <c r="A86">
        <v>4247</v>
      </c>
      <c r="B86" t="s">
        <v>76</v>
      </c>
      <c r="C86">
        <v>300</v>
      </c>
      <c r="D86" s="3">
        <v>1500</v>
      </c>
      <c r="E86" s="3">
        <v>50.7</v>
      </c>
      <c r="F86" s="16">
        <v>1057.21</v>
      </c>
      <c r="G86" s="15">
        <v>2587.34</v>
      </c>
      <c r="H86" s="15">
        <v>1971.32</v>
      </c>
      <c r="I86" s="15">
        <v>1950.97</v>
      </c>
      <c r="J86" s="22">
        <v>1289.76</v>
      </c>
      <c r="K86" s="22">
        <v>551.77</v>
      </c>
      <c r="L86" s="16">
        <v>3404.17</v>
      </c>
    </row>
    <row r="87" spans="1:12" x14ac:dyDescent="0.35">
      <c r="A87">
        <v>4248</v>
      </c>
      <c r="B87" t="s">
        <v>77</v>
      </c>
      <c r="C87">
        <v>500</v>
      </c>
      <c r="D87" s="3">
        <v>500</v>
      </c>
      <c r="E87" s="3">
        <v>248.78</v>
      </c>
      <c r="F87" s="16">
        <v>450.48</v>
      </c>
      <c r="G87" s="15">
        <v>991.75</v>
      </c>
      <c r="H87" s="15">
        <v>910.52</v>
      </c>
      <c r="I87" s="15">
        <v>1500.76</v>
      </c>
      <c r="J87" s="16">
        <v>2727.91</v>
      </c>
      <c r="K87" s="16">
        <v>1333.49</v>
      </c>
      <c r="L87" s="22">
        <v>1283.8599999999999</v>
      </c>
    </row>
    <row r="88" spans="1:12" x14ac:dyDescent="0.35">
      <c r="A88">
        <v>4250</v>
      </c>
      <c r="B88" t="s">
        <v>78</v>
      </c>
      <c r="C88">
        <v>700</v>
      </c>
      <c r="D88" s="3">
        <v>700</v>
      </c>
      <c r="E88" s="22">
        <v>1465.54</v>
      </c>
      <c r="F88" s="16">
        <v>1366.45</v>
      </c>
      <c r="G88" s="15">
        <v>452.72</v>
      </c>
      <c r="H88" s="15">
        <v>467.82</v>
      </c>
      <c r="I88" s="15">
        <v>1058.54</v>
      </c>
      <c r="J88" s="16">
        <v>1532.38</v>
      </c>
      <c r="K88" s="16">
        <v>1699.17</v>
      </c>
      <c r="L88" s="22">
        <v>695.18</v>
      </c>
    </row>
    <row r="89" spans="1:12" x14ac:dyDescent="0.35">
      <c r="A89">
        <v>4255</v>
      </c>
      <c r="B89" t="s">
        <v>79</v>
      </c>
      <c r="C89">
        <v>200</v>
      </c>
      <c r="D89" s="3">
        <v>200</v>
      </c>
      <c r="E89" s="89">
        <v>0</v>
      </c>
      <c r="F89" s="16">
        <v>434.68</v>
      </c>
      <c r="G89" s="15">
        <v>0</v>
      </c>
      <c r="H89" s="15">
        <v>223.3</v>
      </c>
      <c r="I89" s="15">
        <v>0</v>
      </c>
      <c r="J89" s="22">
        <v>1523.76</v>
      </c>
      <c r="K89" s="22">
        <v>2707.58</v>
      </c>
      <c r="L89" s="22">
        <v>0</v>
      </c>
    </row>
    <row r="90" spans="1:12" x14ac:dyDescent="0.35">
      <c r="A90">
        <v>4260</v>
      </c>
      <c r="B90" t="s">
        <v>80</v>
      </c>
      <c r="C90">
        <v>7000</v>
      </c>
      <c r="D90" s="3">
        <v>7000</v>
      </c>
      <c r="F90" s="16">
        <v>4373.32</v>
      </c>
      <c r="G90" s="15">
        <v>17123.16</v>
      </c>
      <c r="H90" s="15">
        <v>16719.599999999999</v>
      </c>
      <c r="I90" s="15">
        <v>20687.28</v>
      </c>
      <c r="J90" s="16">
        <v>20529.84</v>
      </c>
      <c r="K90" s="16">
        <v>20529.599999999999</v>
      </c>
      <c r="L90" s="22">
        <v>20326.439999999999</v>
      </c>
    </row>
    <row r="91" spans="1:12" x14ac:dyDescent="0.35">
      <c r="A91">
        <v>4265</v>
      </c>
      <c r="B91" t="s">
        <v>81</v>
      </c>
      <c r="C91">
        <v>4500</v>
      </c>
      <c r="D91" s="3">
        <v>4500</v>
      </c>
      <c r="E91" s="89">
        <v>900</v>
      </c>
      <c r="F91" s="16">
        <v>705.55</v>
      </c>
      <c r="G91" s="15">
        <v>3852.94</v>
      </c>
      <c r="H91" s="15">
        <v>3020</v>
      </c>
      <c r="I91" s="15">
        <v>4463</v>
      </c>
      <c r="J91" s="16">
        <v>4284.18</v>
      </c>
      <c r="K91" s="16">
        <v>5969.37</v>
      </c>
      <c r="L91" s="22">
        <v>0</v>
      </c>
    </row>
    <row r="92" spans="1:12" x14ac:dyDescent="0.35">
      <c r="B92" t="s">
        <v>82</v>
      </c>
      <c r="C92" s="3">
        <v>10000</v>
      </c>
      <c r="D92" s="3">
        <v>5000</v>
      </c>
      <c r="E92" s="22">
        <v>5044.16</v>
      </c>
      <c r="F92" s="16">
        <v>4434.75</v>
      </c>
      <c r="G92" s="15">
        <v>5792.7</v>
      </c>
      <c r="H92" s="15"/>
      <c r="J92" s="16"/>
      <c r="K92" s="16"/>
      <c r="L92" s="22"/>
    </row>
    <row r="93" spans="1:12" x14ac:dyDescent="0.35">
      <c r="B93" t="s">
        <v>83</v>
      </c>
      <c r="E93" s="89">
        <v>0</v>
      </c>
      <c r="F93" s="16">
        <v>9650.51</v>
      </c>
      <c r="G93" s="15"/>
      <c r="H93" s="15"/>
      <c r="J93" s="16"/>
      <c r="K93" s="16"/>
      <c r="L93" s="22"/>
    </row>
    <row r="94" spans="1:12" x14ac:dyDescent="0.35">
      <c r="B94" s="3" t="s">
        <v>84</v>
      </c>
      <c r="C94" s="3"/>
      <c r="E94" s="89">
        <v>0</v>
      </c>
      <c r="F94" s="16">
        <v>7978.08</v>
      </c>
      <c r="G94" s="15"/>
      <c r="H94" s="15"/>
      <c r="J94" s="16"/>
      <c r="K94" s="16"/>
      <c r="L94" s="22"/>
    </row>
    <row r="95" spans="1:12" x14ac:dyDescent="0.35">
      <c r="B95" s="3" t="s">
        <v>85</v>
      </c>
      <c r="C95" s="3"/>
      <c r="E95" s="3">
        <v>971.31</v>
      </c>
      <c r="F95" s="16">
        <v>160.97999999999999</v>
      </c>
      <c r="G95" s="15"/>
      <c r="H95" s="15"/>
      <c r="J95" s="16"/>
      <c r="K95" s="16"/>
      <c r="L95" s="22"/>
    </row>
    <row r="96" spans="1:12" x14ac:dyDescent="0.35">
      <c r="A96" s="37" t="s">
        <v>42</v>
      </c>
      <c r="B96" s="37"/>
      <c r="C96" s="37">
        <f>SUM(C52:C95)</f>
        <v>63800</v>
      </c>
      <c r="D96" s="42">
        <f>SUM(D52:D92)</f>
        <v>73300</v>
      </c>
      <c r="E96" s="43">
        <f>SUM(E52:E95)</f>
        <v>25087.09</v>
      </c>
      <c r="F96" s="40">
        <f>SUM(F52:F95)</f>
        <v>59483.69000000001</v>
      </c>
      <c r="G96" s="40">
        <f>SUM(G52:G92)</f>
        <v>73808.890000000014</v>
      </c>
      <c r="H96" s="40">
        <f>SUM(H52:H92)</f>
        <v>86737.640000000014</v>
      </c>
      <c r="I96" s="40">
        <f>SUM(I52:I92)</f>
        <v>68681.459999999992</v>
      </c>
      <c r="J96" s="39">
        <f>SUM(J52:J92)</f>
        <v>75788.44</v>
      </c>
      <c r="K96" s="39">
        <f>SUM(K52:K91)</f>
        <v>80848.099999999977</v>
      </c>
      <c r="L96" s="22">
        <f>SUM(L52:L91)</f>
        <v>75443.48</v>
      </c>
    </row>
    <row r="97" spans="1:12" x14ac:dyDescent="0.35">
      <c r="F97" s="16"/>
      <c r="G97" s="15"/>
      <c r="H97" s="15"/>
      <c r="I97" s="15"/>
      <c r="J97" s="16"/>
      <c r="K97" s="16"/>
    </row>
    <row r="98" spans="1:12" x14ac:dyDescent="0.35">
      <c r="A98" t="s">
        <v>86</v>
      </c>
      <c r="G98" s="15"/>
      <c r="H98" s="15"/>
      <c r="I98" s="15"/>
      <c r="J98" s="16"/>
      <c r="K98" s="16" t="s">
        <v>29</v>
      </c>
    </row>
    <row r="99" spans="1:12" x14ac:dyDescent="0.35">
      <c r="A99">
        <v>4270</v>
      </c>
      <c r="B99" t="s">
        <v>87</v>
      </c>
      <c r="C99">
        <v>300</v>
      </c>
      <c r="D99" s="3">
        <v>300</v>
      </c>
      <c r="E99" s="89">
        <v>0</v>
      </c>
      <c r="F99" s="16">
        <v>425</v>
      </c>
      <c r="G99" s="15">
        <v>300</v>
      </c>
      <c r="H99" s="15">
        <v>330</v>
      </c>
      <c r="I99" s="15">
        <v>1553.95</v>
      </c>
      <c r="J99" s="16">
        <v>2758.84</v>
      </c>
      <c r="K99" s="16">
        <v>2268.96</v>
      </c>
      <c r="L99" s="22">
        <v>1502.27</v>
      </c>
    </row>
    <row r="100" spans="1:12" x14ac:dyDescent="0.35">
      <c r="A100">
        <v>4272</v>
      </c>
      <c r="B100" t="s">
        <v>88</v>
      </c>
      <c r="F100" s="16"/>
      <c r="G100" s="15"/>
      <c r="H100" s="15">
        <v>1749.27</v>
      </c>
      <c r="I100" s="15"/>
      <c r="J100" s="16"/>
      <c r="K100" s="16"/>
      <c r="L100" s="22"/>
    </row>
    <row r="101" spans="1:12" x14ac:dyDescent="0.35">
      <c r="A101">
        <v>4275</v>
      </c>
      <c r="B101" t="s">
        <v>89</v>
      </c>
      <c r="D101" s="3">
        <f>130*30</f>
        <v>3900</v>
      </c>
      <c r="E101" s="89">
        <v>0</v>
      </c>
      <c r="F101" s="16">
        <v>2134.04</v>
      </c>
      <c r="G101" s="15">
        <v>2710</v>
      </c>
      <c r="H101" s="15">
        <v>6377.66</v>
      </c>
      <c r="I101" s="15"/>
      <c r="J101" s="16"/>
      <c r="K101" s="16"/>
      <c r="L101" s="22"/>
    </row>
    <row r="102" spans="1:12" x14ac:dyDescent="0.35">
      <c r="F102" s="16"/>
      <c r="G102" s="15"/>
      <c r="H102" s="15"/>
      <c r="I102" s="15"/>
      <c r="J102" s="16"/>
      <c r="K102" s="16"/>
      <c r="L102" s="22"/>
    </row>
    <row r="103" spans="1:12" x14ac:dyDescent="0.35">
      <c r="A103">
        <v>4280</v>
      </c>
      <c r="B103" t="s">
        <v>86</v>
      </c>
      <c r="C103">
        <v>1000</v>
      </c>
      <c r="D103" s="3">
        <v>1000</v>
      </c>
      <c r="F103" s="25">
        <v>4346.87</v>
      </c>
      <c r="G103" s="15">
        <v>1110.72</v>
      </c>
      <c r="H103" s="15">
        <v>1355.57</v>
      </c>
      <c r="I103" s="15"/>
      <c r="J103" s="16"/>
      <c r="K103" s="16"/>
      <c r="L103" s="22"/>
    </row>
    <row r="104" spans="1:12" x14ac:dyDescent="0.35">
      <c r="A104" s="8" t="s">
        <v>86</v>
      </c>
      <c r="B104" s="8"/>
      <c r="C104" s="8">
        <f>SUM(C99:C103)</f>
        <v>1300</v>
      </c>
      <c r="D104" s="23">
        <f>SUM(D99:D103)</f>
        <v>5200</v>
      </c>
      <c r="E104" s="22">
        <v>2171.1999999999998</v>
      </c>
      <c r="F104" s="16">
        <f>SUM(F99:F103)</f>
        <v>6905.91</v>
      </c>
      <c r="G104" s="24">
        <f>G98+G99+G100+G101+G102+G103</f>
        <v>4120.72</v>
      </c>
      <c r="H104" s="24">
        <f>H98+H99+H100+H101+H102+H103</f>
        <v>9812.5</v>
      </c>
      <c r="I104" s="24">
        <f>SUM(I99)</f>
        <v>1553.95</v>
      </c>
      <c r="J104" s="25">
        <f>SUM(J99)</f>
        <v>2758.84</v>
      </c>
      <c r="K104" s="25">
        <f>SUM(K99)</f>
        <v>2268.96</v>
      </c>
      <c r="L104" s="16">
        <f>SUM(L99)</f>
        <v>1502.27</v>
      </c>
    </row>
    <row r="105" spans="1:12" x14ac:dyDescent="0.35">
      <c r="A105" s="44" t="s">
        <v>90</v>
      </c>
      <c r="B105" s="44"/>
      <c r="C105" s="45">
        <f>-(C45+C49+C96)+C104</f>
        <v>-187500</v>
      </c>
      <c r="D105" s="45">
        <f>-(D45+D49+D96)+D104</f>
        <v>-184200</v>
      </c>
      <c r="E105" s="90">
        <v>-144223.76999999999</v>
      </c>
      <c r="F105" s="46">
        <v>163624.32999999999</v>
      </c>
      <c r="G105" s="47">
        <f>-(G45+G49+G96)+G104</f>
        <v>-172481.14000000004</v>
      </c>
      <c r="H105" s="48">
        <f>-(H45+H49+H96)+H104+0.1</f>
        <v>-210227.24000000002</v>
      </c>
      <c r="I105" s="49" t="s">
        <v>91</v>
      </c>
      <c r="J105" s="48">
        <f>-(J45+J49+J96)+J104</f>
        <v>-184941.93000000002</v>
      </c>
      <c r="K105" s="48">
        <f>-(K45+K49+K96)+K104</f>
        <v>-187488.96</v>
      </c>
      <c r="L105" s="48">
        <f>-(L45+L49+L96)+L104</f>
        <v>-193809.25999999998</v>
      </c>
    </row>
    <row r="106" spans="1:12" x14ac:dyDescent="0.35">
      <c r="A106" s="37"/>
      <c r="B106" s="37"/>
      <c r="C106" s="37"/>
      <c r="D106" s="50"/>
      <c r="E106" s="42"/>
      <c r="F106" s="16"/>
      <c r="G106" s="40"/>
      <c r="H106" s="40"/>
      <c r="I106" s="40"/>
      <c r="J106" s="39"/>
      <c r="K106" s="39"/>
    </row>
    <row r="107" spans="1:12" x14ac:dyDescent="0.35">
      <c r="A107" s="37"/>
      <c r="B107" s="37"/>
      <c r="C107" s="37"/>
      <c r="D107" s="50"/>
      <c r="E107" s="42"/>
      <c r="F107" s="16"/>
      <c r="G107" s="40"/>
      <c r="H107" s="40"/>
      <c r="I107" s="40"/>
      <c r="J107" s="39"/>
      <c r="K107" s="39"/>
    </row>
    <row r="108" spans="1:12" x14ac:dyDescent="0.35">
      <c r="G108" s="15"/>
      <c r="H108" s="15"/>
      <c r="I108" s="15"/>
      <c r="J108" s="16"/>
      <c r="K108" s="16"/>
    </row>
    <row r="109" spans="1:12" x14ac:dyDescent="0.35">
      <c r="A109" s="51" t="s">
        <v>92</v>
      </c>
      <c r="B109" s="51"/>
      <c r="C109" s="51"/>
      <c r="D109" s="52"/>
      <c r="E109" s="52"/>
      <c r="F109" s="51"/>
      <c r="G109" s="53"/>
      <c r="H109" s="53"/>
      <c r="I109" s="53"/>
      <c r="J109" s="54"/>
      <c r="K109" s="54"/>
      <c r="L109" s="54"/>
    </row>
    <row r="110" spans="1:12" x14ac:dyDescent="0.35">
      <c r="A110" s="8"/>
      <c r="B110" s="8"/>
      <c r="C110" s="8"/>
      <c r="D110" s="23"/>
      <c r="E110" s="23"/>
      <c r="F110" s="16"/>
      <c r="G110" s="24"/>
      <c r="H110" s="24"/>
      <c r="I110" s="24"/>
      <c r="J110" s="25"/>
      <c r="K110" s="25"/>
      <c r="L110" s="25"/>
    </row>
    <row r="111" spans="1:12" x14ac:dyDescent="0.35">
      <c r="A111" t="s">
        <v>93</v>
      </c>
      <c r="F111" s="16"/>
      <c r="G111" s="15"/>
      <c r="H111" s="15"/>
      <c r="I111" s="15"/>
      <c r="J111" s="16"/>
      <c r="K111" s="16" t="s">
        <v>29</v>
      </c>
      <c r="L111" s="25"/>
    </row>
    <row r="112" spans="1:12" x14ac:dyDescent="0.35">
      <c r="A112">
        <v>3201</v>
      </c>
      <c r="B112" t="s">
        <v>94</v>
      </c>
      <c r="C112">
        <v>6000</v>
      </c>
      <c r="D112" s="3">
        <v>9000</v>
      </c>
      <c r="E112" s="22">
        <v>4436.7</v>
      </c>
      <c r="F112" s="16">
        <v>1472.07</v>
      </c>
      <c r="G112" s="15">
        <v>0</v>
      </c>
      <c r="H112" s="15">
        <v>4904.72</v>
      </c>
      <c r="I112" s="15">
        <v>5428.07</v>
      </c>
      <c r="J112" s="16">
        <v>13234.06</v>
      </c>
      <c r="K112" s="16">
        <v>2975.88</v>
      </c>
      <c r="L112" s="16">
        <v>2624.33</v>
      </c>
    </row>
    <row r="113" spans="1:12" x14ac:dyDescent="0.35">
      <c r="A113" s="8" t="s">
        <v>93</v>
      </c>
      <c r="B113" s="8"/>
      <c r="C113" s="8">
        <f>SUM(C112)</f>
        <v>6000</v>
      </c>
      <c r="D113" s="23">
        <f>SUM(D112)</f>
        <v>9000</v>
      </c>
      <c r="E113" s="22">
        <v>4436.7</v>
      </c>
      <c r="F113" s="16">
        <v>1472.07</v>
      </c>
      <c r="G113" s="24">
        <f t="shared" ref="G113:L113" si="6">SUM(G112)</f>
        <v>0</v>
      </c>
      <c r="H113" s="24">
        <f t="shared" si="6"/>
        <v>4904.72</v>
      </c>
      <c r="I113" s="24">
        <f t="shared" si="6"/>
        <v>5428.07</v>
      </c>
      <c r="J113" s="55">
        <f t="shared" si="6"/>
        <v>13234.06</v>
      </c>
      <c r="K113" s="25">
        <f t="shared" si="6"/>
        <v>2975.88</v>
      </c>
      <c r="L113" s="16">
        <f t="shared" si="6"/>
        <v>2624.33</v>
      </c>
    </row>
    <row r="114" spans="1:12" x14ac:dyDescent="0.35">
      <c r="F114" s="16"/>
      <c r="G114" s="15"/>
      <c r="H114" s="15"/>
      <c r="I114" s="15"/>
      <c r="J114" s="16"/>
      <c r="K114" s="16"/>
      <c r="L114" s="16"/>
    </row>
    <row r="115" spans="1:12" x14ac:dyDescent="0.35">
      <c r="A115" t="s">
        <v>95</v>
      </c>
      <c r="F115" s="16"/>
      <c r="G115" s="15"/>
      <c r="H115" s="15"/>
      <c r="I115" s="15"/>
      <c r="J115" s="16"/>
      <c r="K115" s="16"/>
      <c r="L115" s="16"/>
    </row>
    <row r="116" spans="1:12" x14ac:dyDescent="0.35">
      <c r="A116" t="s">
        <v>96</v>
      </c>
      <c r="F116" s="16"/>
      <c r="G116" s="15"/>
      <c r="H116" s="15"/>
      <c r="I116" s="15"/>
      <c r="J116" s="16"/>
      <c r="K116" s="16" t="s">
        <v>29</v>
      </c>
      <c r="L116" s="16" t="s">
        <v>29</v>
      </c>
    </row>
    <row r="117" spans="1:12" x14ac:dyDescent="0.35">
      <c r="A117">
        <v>3301</v>
      </c>
      <c r="B117" t="s">
        <v>97</v>
      </c>
      <c r="C117" s="87"/>
      <c r="D117" s="3">
        <v>28000</v>
      </c>
      <c r="E117" s="22">
        <v>27718.639999999999</v>
      </c>
      <c r="F117" s="16">
        <v>27905.75</v>
      </c>
      <c r="G117" s="15">
        <v>28697.75</v>
      </c>
      <c r="H117" s="36">
        <v>26587.4</v>
      </c>
      <c r="I117" s="15">
        <v>3000</v>
      </c>
      <c r="J117" s="16">
        <v>2010</v>
      </c>
      <c r="K117" s="16">
        <v>2000</v>
      </c>
      <c r="L117" s="16">
        <v>2000</v>
      </c>
    </row>
    <row r="118" spans="1:12" x14ac:dyDescent="0.35">
      <c r="A118" t="s">
        <v>96</v>
      </c>
      <c r="D118" s="3">
        <f>SUM(D117)</f>
        <v>28000</v>
      </c>
      <c r="F118" s="16"/>
      <c r="G118" s="15">
        <f t="shared" ref="G118:L118" si="7">SUM(G117)</f>
        <v>28697.75</v>
      </c>
      <c r="H118" s="15">
        <f t="shared" si="7"/>
        <v>26587.4</v>
      </c>
      <c r="I118" s="15">
        <f t="shared" si="7"/>
        <v>3000</v>
      </c>
      <c r="J118" s="16">
        <f t="shared" si="7"/>
        <v>2010</v>
      </c>
      <c r="K118" s="16">
        <f t="shared" si="7"/>
        <v>2000</v>
      </c>
      <c r="L118" s="16">
        <f t="shared" si="7"/>
        <v>2000</v>
      </c>
    </row>
    <row r="119" spans="1:12" x14ac:dyDescent="0.35">
      <c r="A119" s="8"/>
      <c r="B119" s="88" t="s">
        <v>140</v>
      </c>
      <c r="C119" s="88">
        <v>42000</v>
      </c>
      <c r="D119" s="23"/>
      <c r="E119" s="23"/>
      <c r="F119" s="16"/>
      <c r="G119" s="24"/>
      <c r="H119" s="24"/>
      <c r="I119" s="24"/>
      <c r="J119" s="25"/>
      <c r="K119" s="25"/>
    </row>
    <row r="120" spans="1:12" x14ac:dyDescent="0.35">
      <c r="A120" s="8"/>
      <c r="B120" s="88" t="s">
        <v>141</v>
      </c>
      <c r="C120" s="88">
        <v>4000</v>
      </c>
      <c r="D120" s="23"/>
      <c r="E120" s="23"/>
      <c r="F120" s="16"/>
      <c r="G120" s="24"/>
      <c r="H120" s="24"/>
      <c r="I120" s="24"/>
      <c r="J120" s="25"/>
      <c r="K120" s="25"/>
    </row>
    <row r="121" spans="1:12" x14ac:dyDescent="0.35">
      <c r="A121" s="8" t="s">
        <v>98</v>
      </c>
      <c r="B121" t="s">
        <v>29</v>
      </c>
      <c r="F121" s="16"/>
      <c r="G121" s="15"/>
      <c r="H121" s="15"/>
      <c r="I121" s="15"/>
      <c r="J121" s="16"/>
      <c r="K121" s="16" t="s">
        <v>29</v>
      </c>
      <c r="L121" s="16" t="s">
        <v>29</v>
      </c>
    </row>
    <row r="122" spans="1:12" x14ac:dyDescent="0.35">
      <c r="A122">
        <v>4201</v>
      </c>
      <c r="B122" t="s">
        <v>99</v>
      </c>
      <c r="C122">
        <v>-23500</v>
      </c>
      <c r="F122" s="16">
        <v>1000</v>
      </c>
      <c r="G122" s="15"/>
      <c r="H122" s="15"/>
      <c r="I122" s="15">
        <v>851</v>
      </c>
      <c r="J122" s="16">
        <v>920</v>
      </c>
      <c r="K122" s="16">
        <v>897</v>
      </c>
      <c r="L122" s="16">
        <v>0</v>
      </c>
    </row>
    <row r="123" spans="1:12" x14ac:dyDescent="0.35">
      <c r="A123" t="s">
        <v>100</v>
      </c>
      <c r="G123" s="15"/>
      <c r="H123" s="15">
        <f>SUM(H122)</f>
        <v>0</v>
      </c>
      <c r="I123" s="15">
        <f>SUM(I122)</f>
        <v>851</v>
      </c>
      <c r="J123" s="16">
        <f>SUM(J122)</f>
        <v>920</v>
      </c>
      <c r="K123" s="16">
        <f>SUM(K122)</f>
        <v>897</v>
      </c>
      <c r="L123" s="16">
        <f>SUM(L122)</f>
        <v>0</v>
      </c>
    </row>
    <row r="124" spans="1:12" x14ac:dyDescent="0.35">
      <c r="A124" s="8" t="s">
        <v>101</v>
      </c>
      <c r="B124" s="8"/>
      <c r="C124" s="8">
        <f>SUM(C118:C123)</f>
        <v>22500</v>
      </c>
      <c r="D124" s="23">
        <f>SUM(D118:D123)</f>
        <v>28000</v>
      </c>
      <c r="E124" s="55">
        <v>27718.639999999999</v>
      </c>
      <c r="F124" s="16">
        <f>F117-F122</f>
        <v>26905.75</v>
      </c>
      <c r="G124" s="24">
        <f>G118-G123</f>
        <v>28697.75</v>
      </c>
      <c r="H124" s="25">
        <f>H118-H123</f>
        <v>26587.4</v>
      </c>
      <c r="I124" s="25">
        <v>2149</v>
      </c>
      <c r="J124" s="25">
        <f>J118-J123</f>
        <v>1090</v>
      </c>
      <c r="K124" s="25">
        <f>K118-K123</f>
        <v>1103</v>
      </c>
      <c r="L124" s="16">
        <f>L118-L123</f>
        <v>2000</v>
      </c>
    </row>
    <row r="125" spans="1:12" x14ac:dyDescent="0.35">
      <c r="A125" s="8"/>
      <c r="B125" s="8"/>
      <c r="C125" s="8"/>
      <c r="D125" s="23"/>
      <c r="E125" s="23"/>
      <c r="F125" s="16"/>
      <c r="G125" s="24"/>
      <c r="H125" s="25"/>
      <c r="I125" s="25"/>
      <c r="J125" s="25"/>
      <c r="K125" s="25"/>
      <c r="L125" s="16"/>
    </row>
    <row r="126" spans="1:12" x14ac:dyDescent="0.35">
      <c r="F126" s="16"/>
      <c r="G126" s="15"/>
      <c r="H126" s="15"/>
      <c r="I126" s="15"/>
      <c r="J126" s="16"/>
      <c r="K126" s="16"/>
      <c r="L126" s="16"/>
    </row>
    <row r="127" spans="1:12" x14ac:dyDescent="0.35">
      <c r="A127" s="56" t="s">
        <v>102</v>
      </c>
      <c r="B127" s="57"/>
      <c r="C127" s="58">
        <f>C113+C124</f>
        <v>28500</v>
      </c>
      <c r="D127" s="58">
        <f>D113+D124</f>
        <v>37000</v>
      </c>
      <c r="E127" s="58">
        <f>SUM(E112+E124)</f>
        <v>32155.34</v>
      </c>
      <c r="F127" s="59">
        <f>F113+F124</f>
        <v>28377.82</v>
      </c>
      <c r="G127" s="59">
        <f>G113+G124</f>
        <v>28697.75</v>
      </c>
      <c r="H127" s="60">
        <f>H113+H124</f>
        <v>31492.120000000003</v>
      </c>
      <c r="I127" s="59">
        <v>7577.07</v>
      </c>
      <c r="J127" s="60">
        <f>J113+J124</f>
        <v>14324.06</v>
      </c>
      <c r="K127" s="60">
        <f>K113+K124</f>
        <v>4078.88</v>
      </c>
      <c r="L127" s="60">
        <f>L113+L124</f>
        <v>4624.33</v>
      </c>
    </row>
    <row r="128" spans="1:12" x14ac:dyDescent="0.35">
      <c r="A128" s="8"/>
      <c r="F128" s="16"/>
      <c r="G128" s="15"/>
      <c r="H128" s="15"/>
      <c r="I128" s="15"/>
      <c r="J128" s="16"/>
      <c r="K128" s="16"/>
      <c r="L128" s="16"/>
    </row>
    <row r="129" spans="1:13" s="1" customFormat="1" ht="18.5" x14ac:dyDescent="0.45">
      <c r="A129" s="61" t="s">
        <v>103</v>
      </c>
      <c r="B129" s="61"/>
      <c r="C129" s="62">
        <f>(C21+C105+C127)</f>
        <v>-155300</v>
      </c>
      <c r="D129" s="62">
        <f>(D21+D105+D127)</f>
        <v>-144750</v>
      </c>
      <c r="E129" s="62">
        <f>SUM(E21+E105+E127)</f>
        <v>-104943.22999999998</v>
      </c>
      <c r="F129" s="63">
        <v>-133375.32999999999</v>
      </c>
      <c r="G129" s="63">
        <f>(G21+G105+G127)</f>
        <v>-154045.09000000005</v>
      </c>
      <c r="H129" s="63">
        <f>H21+H105+H127-2</f>
        <v>-171617.65000000002</v>
      </c>
      <c r="I129" s="63">
        <v>-154516.94</v>
      </c>
      <c r="J129" s="63">
        <f>J21+J105+J127</f>
        <v>-155393.16000000003</v>
      </c>
      <c r="K129" s="64">
        <f>K21+K105+K127</f>
        <v>-167066.09999999998</v>
      </c>
      <c r="L129" s="64">
        <f>L21+L105+L127</f>
        <v>-188235.91</v>
      </c>
      <c r="M129" s="65"/>
    </row>
    <row r="130" spans="1:13" x14ac:dyDescent="0.35">
      <c r="A130" s="8"/>
      <c r="B130" s="8"/>
      <c r="C130" s="8"/>
      <c r="D130" s="23"/>
      <c r="E130" s="23"/>
      <c r="F130" s="16"/>
      <c r="G130" s="24"/>
      <c r="H130" s="24"/>
      <c r="I130" s="24"/>
      <c r="J130" s="25"/>
      <c r="K130" s="25"/>
      <c r="L130" s="25"/>
    </row>
    <row r="131" spans="1:13" x14ac:dyDescent="0.35">
      <c r="A131" s="66" t="s">
        <v>104</v>
      </c>
      <c r="B131" s="66"/>
      <c r="C131" s="66"/>
      <c r="D131" s="67"/>
      <c r="E131" s="67"/>
      <c r="F131" s="68"/>
      <c r="G131" s="68"/>
      <c r="H131" s="68"/>
      <c r="I131" s="68"/>
      <c r="J131" s="69"/>
      <c r="K131" s="69"/>
      <c r="L131" s="69"/>
    </row>
    <row r="132" spans="1:13" x14ac:dyDescent="0.35">
      <c r="F132" s="16"/>
      <c r="G132" s="15"/>
      <c r="H132" s="15"/>
      <c r="I132" s="15"/>
      <c r="J132" s="16"/>
      <c r="K132" s="16"/>
      <c r="L132" s="16"/>
    </row>
    <row r="133" spans="1:13" x14ac:dyDescent="0.35">
      <c r="A133" s="8" t="s">
        <v>105</v>
      </c>
      <c r="B133" s="8"/>
      <c r="C133" s="8"/>
      <c r="D133" s="23"/>
      <c r="E133" s="23"/>
      <c r="F133" s="16"/>
      <c r="G133" s="24"/>
      <c r="H133" s="24"/>
      <c r="I133" s="24"/>
      <c r="J133" s="25"/>
      <c r="K133" s="25"/>
      <c r="L133" s="25"/>
    </row>
    <row r="134" spans="1:13" x14ac:dyDescent="0.35">
      <c r="A134">
        <v>6000</v>
      </c>
      <c r="B134" t="s">
        <v>105</v>
      </c>
      <c r="F134" s="16"/>
      <c r="G134" s="15">
        <v>104455.74</v>
      </c>
      <c r="H134" s="15">
        <v>108057.56</v>
      </c>
      <c r="I134" s="15">
        <v>101913.77</v>
      </c>
      <c r="J134" s="16">
        <v>89395.5</v>
      </c>
      <c r="K134" s="16">
        <v>89312.5</v>
      </c>
      <c r="L134" s="16">
        <v>93012.5</v>
      </c>
    </row>
    <row r="135" spans="1:13" x14ac:dyDescent="0.35">
      <c r="B135" t="s">
        <v>106</v>
      </c>
      <c r="D135" s="3">
        <v>38450</v>
      </c>
      <c r="F135" s="16"/>
      <c r="G135" s="15"/>
      <c r="H135" s="15"/>
      <c r="I135" s="15"/>
      <c r="J135" s="16"/>
      <c r="K135" s="16"/>
      <c r="L135" s="16"/>
    </row>
    <row r="136" spans="1:13" x14ac:dyDescent="0.35">
      <c r="B136" t="s">
        <v>107</v>
      </c>
      <c r="D136" s="3">
        <v>56300</v>
      </c>
      <c r="F136" s="16">
        <v>92603.59</v>
      </c>
      <c r="G136" s="15"/>
      <c r="H136" s="15"/>
      <c r="I136" s="15"/>
      <c r="J136" s="16"/>
      <c r="K136" s="16"/>
      <c r="L136" s="16"/>
    </row>
    <row r="137" spans="1:13" x14ac:dyDescent="0.35">
      <c r="A137" t="s">
        <v>105</v>
      </c>
      <c r="C137" s="3">
        <v>97000</v>
      </c>
      <c r="D137" s="3">
        <v>94750</v>
      </c>
      <c r="E137" s="91">
        <v>94814.44</v>
      </c>
      <c r="F137" s="16">
        <v>92603.59</v>
      </c>
      <c r="G137" s="15">
        <f>SUM(G134:G136)</f>
        <v>104455.74</v>
      </c>
      <c r="H137" s="15">
        <f>SUM(H134:H136)</f>
        <v>108057.56</v>
      </c>
      <c r="I137" s="15">
        <f>SUM(I134:I136)</f>
        <v>101913.77</v>
      </c>
      <c r="J137" s="16">
        <f>SUM(J134:J136)</f>
        <v>89395.5</v>
      </c>
      <c r="K137" s="16">
        <f>SUM(K134)</f>
        <v>89312.5</v>
      </c>
      <c r="L137" s="25">
        <f>SUM(L134)</f>
        <v>93012.5</v>
      </c>
    </row>
    <row r="138" spans="1:13" x14ac:dyDescent="0.35">
      <c r="C138" s="3"/>
      <c r="F138" s="16"/>
      <c r="G138" s="15"/>
      <c r="H138" s="15"/>
      <c r="I138" s="15"/>
      <c r="J138" s="16"/>
      <c r="K138" s="16"/>
      <c r="L138" s="16"/>
    </row>
    <row r="139" spans="1:13" x14ac:dyDescent="0.35">
      <c r="A139" t="s">
        <v>108</v>
      </c>
      <c r="C139" s="3"/>
      <c r="F139" s="16"/>
      <c r="G139" s="15"/>
      <c r="H139" s="15"/>
      <c r="I139" s="15"/>
      <c r="J139" s="16"/>
      <c r="K139" s="16"/>
      <c r="L139" s="16"/>
    </row>
    <row r="140" spans="1:13" x14ac:dyDescent="0.35">
      <c r="B140" t="s">
        <v>109</v>
      </c>
      <c r="D140" s="3">
        <v>2500</v>
      </c>
      <c r="F140" s="16"/>
      <c r="G140" s="15"/>
      <c r="H140" s="15"/>
      <c r="I140" s="15"/>
      <c r="J140" s="16"/>
      <c r="K140" s="16"/>
      <c r="L140" s="16"/>
    </row>
    <row r="141" spans="1:13" x14ac:dyDescent="0.35">
      <c r="A141" t="s">
        <v>108</v>
      </c>
      <c r="F141" s="16"/>
      <c r="G141" s="15"/>
      <c r="H141" s="15"/>
      <c r="I141" s="15"/>
      <c r="J141" s="16"/>
      <c r="K141" s="16"/>
      <c r="L141" s="16"/>
    </row>
    <row r="142" spans="1:13" x14ac:dyDescent="0.35">
      <c r="F142" s="16"/>
      <c r="G142" s="15"/>
      <c r="H142" s="15"/>
      <c r="I142" s="15"/>
      <c r="J142" s="16"/>
      <c r="K142" s="16"/>
      <c r="L142" s="16"/>
    </row>
    <row r="143" spans="1:13" x14ac:dyDescent="0.35">
      <c r="A143" t="s">
        <v>110</v>
      </c>
      <c r="F143" s="16"/>
      <c r="G143" s="15"/>
      <c r="H143" s="15"/>
      <c r="I143" s="15"/>
      <c r="J143" s="16"/>
      <c r="K143" s="16"/>
      <c r="L143" s="16"/>
    </row>
    <row r="144" spans="1:13" x14ac:dyDescent="0.35">
      <c r="A144">
        <v>6030</v>
      </c>
      <c r="B144" t="s">
        <v>110</v>
      </c>
      <c r="C144">
        <v>600</v>
      </c>
      <c r="D144" s="3">
        <v>600</v>
      </c>
      <c r="E144" s="3">
        <v>140.66</v>
      </c>
      <c r="F144" s="16">
        <v>528</v>
      </c>
      <c r="G144" s="15">
        <v>567.45000000000005</v>
      </c>
      <c r="H144" s="15"/>
      <c r="I144" s="15"/>
      <c r="J144" s="16"/>
      <c r="K144" s="16"/>
      <c r="L144" s="16"/>
    </row>
    <row r="145" spans="1:18" x14ac:dyDescent="0.35">
      <c r="B145" t="s">
        <v>111</v>
      </c>
      <c r="C145">
        <f>SUM(C144)</f>
        <v>600</v>
      </c>
      <c r="D145" s="3">
        <f>SUM(D144)</f>
        <v>600</v>
      </c>
      <c r="E145" s="3">
        <v>140.66</v>
      </c>
      <c r="F145" s="16">
        <v>528</v>
      </c>
      <c r="G145" s="15">
        <f>-G144</f>
        <v>-567.45000000000005</v>
      </c>
      <c r="H145" s="15"/>
      <c r="I145" s="15"/>
      <c r="J145" s="16"/>
      <c r="K145" s="16"/>
      <c r="L145" s="16"/>
    </row>
    <row r="146" spans="1:18" x14ac:dyDescent="0.35">
      <c r="A146" s="70" t="s">
        <v>112</v>
      </c>
      <c r="B146" s="70"/>
      <c r="C146" s="71">
        <f>C137+C141-C145</f>
        <v>96400</v>
      </c>
      <c r="D146" s="71">
        <f>D137+D141</f>
        <v>94750</v>
      </c>
      <c r="E146" s="71"/>
      <c r="F146" s="68"/>
      <c r="G146" s="72">
        <f>G137+G141+G145</f>
        <v>103888.29000000001</v>
      </c>
      <c r="H146" s="72">
        <f>H137+H141</f>
        <v>108057.56</v>
      </c>
      <c r="I146" s="72">
        <f>SUM(I137)</f>
        <v>101913.77</v>
      </c>
      <c r="J146" s="72">
        <f>J137+J141</f>
        <v>89395.5</v>
      </c>
      <c r="K146" s="72">
        <f>K137+K141</f>
        <v>89312.5</v>
      </c>
      <c r="L146" s="72">
        <f>L137+L141</f>
        <v>93012.5</v>
      </c>
    </row>
    <row r="147" spans="1:18" x14ac:dyDescent="0.35">
      <c r="F147" s="16"/>
      <c r="G147" s="15"/>
      <c r="H147" s="15"/>
      <c r="I147" s="15"/>
      <c r="J147" s="16"/>
      <c r="K147" s="16"/>
      <c r="L147" s="16"/>
    </row>
    <row r="148" spans="1:18" s="1" customFormat="1" ht="18.5" x14ac:dyDescent="0.45">
      <c r="A148" s="61" t="s">
        <v>113</v>
      </c>
      <c r="B148" s="61"/>
      <c r="C148" s="62">
        <f>C129+C146</f>
        <v>-58900</v>
      </c>
      <c r="D148" s="62">
        <f>D129+D146</f>
        <v>-50000</v>
      </c>
      <c r="E148" s="92">
        <v>-10269.450000000001</v>
      </c>
      <c r="F148" s="63">
        <v>-41299.74</v>
      </c>
      <c r="G148" s="63">
        <f>G129+G146</f>
        <v>-50156.800000000047</v>
      </c>
      <c r="H148" s="63">
        <f>H129+H146</f>
        <v>-63560.090000000026</v>
      </c>
      <c r="I148" s="64">
        <f>I129+I146</f>
        <v>-52603.17</v>
      </c>
      <c r="J148" s="64">
        <f>J129+J137</f>
        <v>-65997.660000000033</v>
      </c>
      <c r="K148" s="64">
        <f>K129+K137</f>
        <v>-77753.599999999977</v>
      </c>
      <c r="L148" s="64">
        <f>L129+L137</f>
        <v>-95223.41</v>
      </c>
      <c r="M148" s="65"/>
    </row>
    <row r="149" spans="1:18" x14ac:dyDescent="0.35">
      <c r="F149" s="16"/>
      <c r="G149" s="15"/>
      <c r="H149" s="15"/>
      <c r="I149" s="15"/>
      <c r="J149" s="16"/>
      <c r="K149" s="16"/>
      <c r="L149" s="16"/>
    </row>
    <row r="150" spans="1:18" x14ac:dyDescent="0.35">
      <c r="A150" s="73" t="s">
        <v>114</v>
      </c>
      <c r="B150" s="73"/>
      <c r="C150" s="73"/>
      <c r="D150" s="74"/>
      <c r="E150" s="74"/>
      <c r="F150" s="73"/>
      <c r="G150" s="75"/>
      <c r="H150" s="75"/>
      <c r="I150" s="75"/>
      <c r="J150" s="76"/>
      <c r="K150" s="76"/>
      <c r="L150" s="76"/>
      <c r="R150" s="77"/>
    </row>
    <row r="151" spans="1:18" x14ac:dyDescent="0.35">
      <c r="A151" s="8"/>
      <c r="B151" s="8"/>
      <c r="C151" s="8"/>
      <c r="D151" s="23"/>
      <c r="E151" s="23"/>
      <c r="F151" s="16"/>
      <c r="G151" s="24"/>
      <c r="H151" s="24"/>
      <c r="I151" s="24"/>
      <c r="J151" s="25"/>
      <c r="K151" s="25"/>
      <c r="L151" s="25"/>
    </row>
    <row r="152" spans="1:18" x14ac:dyDescent="0.35">
      <c r="A152" s="8" t="s">
        <v>115</v>
      </c>
      <c r="B152" s="8"/>
      <c r="C152" s="8"/>
      <c r="D152" s="23"/>
      <c r="E152" s="23"/>
      <c r="F152" s="16"/>
      <c r="G152" s="24"/>
      <c r="H152" s="24"/>
      <c r="I152" s="24"/>
      <c r="J152" s="25"/>
      <c r="K152" s="25" t="s">
        <v>29</v>
      </c>
      <c r="L152" s="25" t="s">
        <v>29</v>
      </c>
    </row>
    <row r="153" spans="1:18" x14ac:dyDescent="0.35">
      <c r="A153" t="s">
        <v>15</v>
      </c>
      <c r="F153" s="16"/>
      <c r="G153" s="15"/>
      <c r="H153" s="15"/>
      <c r="I153" s="15"/>
      <c r="J153" s="16"/>
      <c r="K153" s="16"/>
      <c r="L153" s="16"/>
    </row>
    <row r="154" spans="1:18" x14ac:dyDescent="0.35">
      <c r="A154">
        <v>4203</v>
      </c>
      <c r="B154" t="s">
        <v>116</v>
      </c>
      <c r="C154">
        <v>0</v>
      </c>
      <c r="D154" s="3">
        <v>0</v>
      </c>
      <c r="E154" s="22">
        <v>15340.35</v>
      </c>
      <c r="F154" s="16">
        <v>11624</v>
      </c>
      <c r="G154" s="15">
        <v>15228</v>
      </c>
      <c r="H154" s="15">
        <v>10138.5</v>
      </c>
      <c r="I154" s="78">
        <v>15174</v>
      </c>
      <c r="J154" s="16">
        <v>13226.25</v>
      </c>
      <c r="K154" s="16">
        <v>13216</v>
      </c>
      <c r="L154" s="16">
        <v>8634</v>
      </c>
    </row>
    <row r="155" spans="1:18" x14ac:dyDescent="0.35">
      <c r="A155" t="s">
        <v>117</v>
      </c>
      <c r="E155" s="22">
        <v>15340.35</v>
      </c>
      <c r="F155" s="16">
        <v>11624</v>
      </c>
      <c r="G155" s="15">
        <f t="shared" ref="G155:L155" si="8">SUM(G154)</f>
        <v>15228</v>
      </c>
      <c r="H155" s="16">
        <f t="shared" si="8"/>
        <v>10138.5</v>
      </c>
      <c r="I155" s="78">
        <f t="shared" si="8"/>
        <v>15174</v>
      </c>
      <c r="J155" s="16">
        <f t="shared" si="8"/>
        <v>13226.25</v>
      </c>
      <c r="K155" s="16">
        <f t="shared" si="8"/>
        <v>13216</v>
      </c>
      <c r="L155" s="16">
        <f t="shared" si="8"/>
        <v>8634</v>
      </c>
    </row>
    <row r="156" spans="1:18" x14ac:dyDescent="0.35">
      <c r="A156" t="s">
        <v>98</v>
      </c>
      <c r="B156" t="s">
        <v>29</v>
      </c>
      <c r="F156" s="16"/>
      <c r="G156" s="15"/>
      <c r="H156" s="15"/>
      <c r="I156" s="78"/>
      <c r="J156" s="16"/>
      <c r="K156" s="16" t="s">
        <v>29</v>
      </c>
      <c r="L156" s="16" t="s">
        <v>29</v>
      </c>
    </row>
    <row r="157" spans="1:18" x14ac:dyDescent="0.35">
      <c r="A157">
        <v>4240</v>
      </c>
      <c r="B157" t="s">
        <v>118</v>
      </c>
      <c r="C157">
        <v>0</v>
      </c>
      <c r="D157" s="3">
        <v>0</v>
      </c>
      <c r="E157" s="22">
        <v>8925.7199999999993</v>
      </c>
      <c r="F157" s="16">
        <v>8816.4599999999991</v>
      </c>
      <c r="G157" s="15">
        <v>8937.9</v>
      </c>
      <c r="H157" s="15">
        <v>8473.82</v>
      </c>
      <c r="I157" s="78">
        <v>8181.72</v>
      </c>
      <c r="J157" s="16">
        <v>7630.32</v>
      </c>
      <c r="K157" s="16">
        <v>7727.84</v>
      </c>
      <c r="L157" s="16">
        <v>6701.01</v>
      </c>
    </row>
    <row r="158" spans="1:18" x14ac:dyDescent="0.35">
      <c r="B158" t="s">
        <v>119</v>
      </c>
      <c r="C158">
        <v>0</v>
      </c>
      <c r="D158" s="3">
        <v>0</v>
      </c>
      <c r="E158" s="89">
        <v>95</v>
      </c>
      <c r="F158" s="16">
        <v>395.66</v>
      </c>
      <c r="G158" s="15">
        <v>82.89</v>
      </c>
      <c r="H158" s="15">
        <v>616.08000000000004</v>
      </c>
      <c r="I158" s="78"/>
      <c r="J158" s="16">
        <v>184.14</v>
      </c>
      <c r="K158" s="16"/>
      <c r="L158" s="16"/>
    </row>
    <row r="159" spans="1:18" x14ac:dyDescent="0.35">
      <c r="A159">
        <v>4243</v>
      </c>
      <c r="B159" t="s">
        <v>120</v>
      </c>
      <c r="F159" s="16"/>
      <c r="G159" s="15">
        <v>62.7</v>
      </c>
      <c r="H159" s="15"/>
      <c r="I159" s="78"/>
      <c r="J159" s="16">
        <v>1488</v>
      </c>
      <c r="K159" s="16">
        <v>74.63</v>
      </c>
      <c r="L159" s="16">
        <v>291.85000000000002</v>
      </c>
    </row>
    <row r="160" spans="1:18" x14ac:dyDescent="0.35">
      <c r="A160" t="s">
        <v>98</v>
      </c>
      <c r="C160">
        <v>0</v>
      </c>
      <c r="D160" s="3">
        <f>SUM(D157:D159)</f>
        <v>0</v>
      </c>
      <c r="E160" s="93">
        <v>9020.7199999999993</v>
      </c>
      <c r="F160" s="16">
        <f>SUM(F157:F159)</f>
        <v>9212.119999999999</v>
      </c>
      <c r="G160" s="15">
        <f>SUM(G157:G159)</f>
        <v>9083.49</v>
      </c>
      <c r="H160" s="15">
        <f>SUM(H157:H159)</f>
        <v>9089.9</v>
      </c>
      <c r="I160" s="78"/>
      <c r="J160" s="16">
        <f>SUM(J157:J159)</f>
        <v>9302.4599999999991</v>
      </c>
      <c r="K160" s="16">
        <f>SUM(K157:K159)</f>
        <v>7802.47</v>
      </c>
      <c r="L160" s="16">
        <f>SUM(L157:L159)</f>
        <v>6992.8600000000006</v>
      </c>
    </row>
    <row r="161" spans="1:13" x14ac:dyDescent="0.35">
      <c r="A161" s="8" t="s">
        <v>121</v>
      </c>
      <c r="B161" s="8"/>
      <c r="C161" s="8">
        <f>SUM(C154:C160)</f>
        <v>0</v>
      </c>
      <c r="D161" s="79">
        <f>D155-D160</f>
        <v>0</v>
      </c>
      <c r="E161" s="94">
        <f>SUM(E155-E160)</f>
        <v>6319.630000000001</v>
      </c>
      <c r="F161" s="25">
        <v>2411.880000000001</v>
      </c>
      <c r="G161" s="24">
        <f>G155-G160</f>
        <v>6144.51</v>
      </c>
      <c r="H161" s="25">
        <f>H155-H160</f>
        <v>1048.6000000000004</v>
      </c>
      <c r="I161" s="80">
        <f>I155-I157</f>
        <v>6992.28</v>
      </c>
      <c r="J161" s="25">
        <f>J155-J160</f>
        <v>3923.7900000000009</v>
      </c>
      <c r="K161" s="25">
        <f>K155-K160</f>
        <v>5413.53</v>
      </c>
      <c r="L161" s="25">
        <f>L155-L160</f>
        <v>1641.1399999999994</v>
      </c>
    </row>
    <row r="162" spans="1:13" x14ac:dyDescent="0.35">
      <c r="F162" s="16"/>
      <c r="G162" s="15"/>
      <c r="H162" s="15"/>
      <c r="I162" s="78"/>
      <c r="J162" s="16"/>
      <c r="K162" s="16"/>
      <c r="L162" s="16"/>
    </row>
    <row r="163" spans="1:13" x14ac:dyDescent="0.35">
      <c r="A163" s="8" t="s">
        <v>122</v>
      </c>
      <c r="F163" s="16"/>
      <c r="G163" s="15"/>
      <c r="H163" s="15"/>
      <c r="I163" s="78"/>
      <c r="J163" s="16"/>
      <c r="K163" s="16"/>
      <c r="L163" s="16"/>
    </row>
    <row r="164" spans="1:13" x14ac:dyDescent="0.35">
      <c r="A164" t="s">
        <v>15</v>
      </c>
      <c r="F164" s="16"/>
      <c r="G164" s="15"/>
      <c r="H164" s="15"/>
      <c r="I164" s="78"/>
      <c r="J164" s="16"/>
      <c r="K164" s="16"/>
      <c r="L164" s="16"/>
    </row>
    <row r="165" spans="1:13" x14ac:dyDescent="0.35">
      <c r="A165">
        <v>6050</v>
      </c>
      <c r="B165" t="s">
        <v>123</v>
      </c>
      <c r="C165">
        <v>16000</v>
      </c>
      <c r="D165" s="81">
        <v>10000</v>
      </c>
      <c r="E165" s="22">
        <v>2864.37</v>
      </c>
      <c r="F165" s="16">
        <v>2521.4</v>
      </c>
      <c r="G165" s="15">
        <v>1530.46</v>
      </c>
      <c r="H165" s="15">
        <v>1420.31</v>
      </c>
      <c r="I165" s="78">
        <v>1277.3900000000001</v>
      </c>
      <c r="J165" s="16">
        <v>1192.9100000000001</v>
      </c>
      <c r="K165" s="16">
        <v>1107.55</v>
      </c>
      <c r="L165" s="16">
        <v>1890.01</v>
      </c>
    </row>
    <row r="166" spans="1:13" x14ac:dyDescent="0.35">
      <c r="A166">
        <v>6090</v>
      </c>
      <c r="B166" t="s">
        <v>124</v>
      </c>
      <c r="F166" s="16"/>
      <c r="G166" s="15">
        <v>8213.5</v>
      </c>
      <c r="H166" s="15"/>
      <c r="I166" s="78"/>
      <c r="J166" s="16"/>
      <c r="K166" s="16"/>
      <c r="L166" s="16"/>
    </row>
    <row r="167" spans="1:13" x14ac:dyDescent="0.35">
      <c r="A167" t="s">
        <v>15</v>
      </c>
      <c r="C167">
        <f>SUM(C165:C166)</f>
        <v>16000</v>
      </c>
      <c r="D167" s="3">
        <f>SUM(D165:D166)</f>
        <v>10000</v>
      </c>
      <c r="E167" s="22">
        <v>2864.37</v>
      </c>
      <c r="F167" s="16">
        <v>2521.4</v>
      </c>
      <c r="G167" s="15">
        <f>G165+G166</f>
        <v>9743.9599999999991</v>
      </c>
      <c r="H167" s="15">
        <f>SUM(H165)</f>
        <v>1420.31</v>
      </c>
      <c r="I167" s="78">
        <f>SUM(I165)</f>
        <v>1277.3900000000001</v>
      </c>
      <c r="J167" s="16">
        <f>SUM(J165)</f>
        <v>1192.9100000000001</v>
      </c>
      <c r="K167" s="16">
        <f>SUM(K165)</f>
        <v>1107.55</v>
      </c>
      <c r="L167" s="16">
        <f>SUM(L165)</f>
        <v>1890.01</v>
      </c>
    </row>
    <row r="168" spans="1:13" x14ac:dyDescent="0.35">
      <c r="A168" t="s">
        <v>98</v>
      </c>
      <c r="F168" s="16"/>
      <c r="G168" s="15"/>
      <c r="H168" s="15"/>
      <c r="I168" s="78"/>
      <c r="J168" s="16"/>
      <c r="K168" s="16"/>
      <c r="L168" s="16"/>
    </row>
    <row r="169" spans="1:13" x14ac:dyDescent="0.35">
      <c r="A169">
        <v>6120</v>
      </c>
      <c r="B169" t="s">
        <v>125</v>
      </c>
      <c r="C169">
        <v>450</v>
      </c>
      <c r="D169" s="3">
        <v>450</v>
      </c>
      <c r="E169" s="3">
        <v>457.56</v>
      </c>
      <c r="F169" s="16">
        <v>420.36</v>
      </c>
      <c r="G169" s="15">
        <v>463.56</v>
      </c>
      <c r="H169" s="15">
        <v>428.18</v>
      </c>
      <c r="I169" s="78">
        <v>385.46</v>
      </c>
      <c r="J169" s="16">
        <v>420.36</v>
      </c>
      <c r="K169" s="16">
        <v>395.33</v>
      </c>
      <c r="L169" s="16">
        <v>420.36</v>
      </c>
    </row>
    <row r="170" spans="1:13" x14ac:dyDescent="0.35">
      <c r="A170">
        <v>6130</v>
      </c>
      <c r="B170" t="s">
        <v>126</v>
      </c>
      <c r="C170">
        <v>50</v>
      </c>
      <c r="D170" s="3">
        <v>50</v>
      </c>
      <c r="E170" s="3">
        <v>21.38</v>
      </c>
      <c r="F170" s="16">
        <v>13.96</v>
      </c>
      <c r="G170" s="15">
        <v>0.46</v>
      </c>
      <c r="H170" s="15">
        <v>21.13</v>
      </c>
      <c r="I170" s="78">
        <v>0</v>
      </c>
      <c r="J170" s="16">
        <v>21.92</v>
      </c>
      <c r="K170" s="16">
        <v>6.95</v>
      </c>
      <c r="L170" s="16">
        <v>20.51</v>
      </c>
    </row>
    <row r="171" spans="1:13" x14ac:dyDescent="0.35">
      <c r="A171">
        <v>6132</v>
      </c>
      <c r="B171" t="s">
        <v>127</v>
      </c>
      <c r="C171">
        <v>400</v>
      </c>
      <c r="D171" s="3">
        <v>400</v>
      </c>
      <c r="E171" s="3">
        <v>478.94</v>
      </c>
      <c r="F171" s="16">
        <f>SUM(F168:F170)</f>
        <v>434.32</v>
      </c>
      <c r="G171" s="15"/>
      <c r="H171" s="15">
        <f>H169+H170</f>
        <v>449.31</v>
      </c>
      <c r="I171" s="78">
        <v>245.22</v>
      </c>
      <c r="J171" s="16"/>
      <c r="K171" s="16"/>
      <c r="L171" s="16"/>
    </row>
    <row r="172" spans="1:13" x14ac:dyDescent="0.35">
      <c r="A172" t="s">
        <v>98</v>
      </c>
      <c r="C172">
        <f>SUM(C169:C171)</f>
        <v>900</v>
      </c>
      <c r="D172" s="3">
        <f>SUM(D169:D171)</f>
        <v>900</v>
      </c>
      <c r="F172" s="16"/>
      <c r="G172" s="15">
        <f>SUM(G169:G171)</f>
        <v>464.02</v>
      </c>
      <c r="H172" s="15">
        <f>SUM(H169:H170)</f>
        <v>449.31</v>
      </c>
      <c r="I172" s="78">
        <f>SUM(I169:I171)</f>
        <v>630.67999999999995</v>
      </c>
      <c r="J172" s="16">
        <f>SUM(J169:J170)</f>
        <v>442.28000000000003</v>
      </c>
      <c r="K172" s="16">
        <f>SUM(K169:K170)</f>
        <v>402.28</v>
      </c>
      <c r="L172" s="16">
        <f>SUM(L169:L170)</f>
        <v>440.87</v>
      </c>
    </row>
    <row r="173" spans="1:13" x14ac:dyDescent="0.35">
      <c r="A173" s="8" t="s">
        <v>128</v>
      </c>
      <c r="C173" s="79">
        <f>C167-C172</f>
        <v>15100</v>
      </c>
      <c r="D173" s="79">
        <f>D167-D172</f>
        <v>9100</v>
      </c>
      <c r="E173" s="94">
        <v>2385.4299999999998</v>
      </c>
      <c r="F173" s="25">
        <v>2087.08</v>
      </c>
      <c r="G173" s="24">
        <f t="shared" ref="G173:L173" si="9">G167-G172</f>
        <v>9279.9399999999987</v>
      </c>
      <c r="H173" s="25">
        <f t="shared" si="9"/>
        <v>971</v>
      </c>
      <c r="I173" s="80">
        <f t="shared" si="9"/>
        <v>646.71000000000015</v>
      </c>
      <c r="J173" s="25">
        <f t="shared" si="9"/>
        <v>750.63000000000011</v>
      </c>
      <c r="K173" s="25">
        <f t="shared" si="9"/>
        <v>705.27</v>
      </c>
      <c r="L173" s="25">
        <f t="shared" si="9"/>
        <v>1449.1399999999999</v>
      </c>
    </row>
    <row r="174" spans="1:13" x14ac:dyDescent="0.35">
      <c r="F174" s="16"/>
      <c r="G174" s="15"/>
      <c r="H174" s="15"/>
      <c r="I174" s="15"/>
      <c r="J174" s="16"/>
      <c r="K174" s="16"/>
      <c r="L174" s="16"/>
    </row>
    <row r="175" spans="1:13" s="1" customFormat="1" ht="18.5" x14ac:dyDescent="0.45">
      <c r="A175" s="61" t="s">
        <v>129</v>
      </c>
      <c r="B175" s="61"/>
      <c r="C175" s="62">
        <f>C148+C161+C173</f>
        <v>-43800</v>
      </c>
      <c r="D175" s="62">
        <f>D148+D161+D173</f>
        <v>-40900</v>
      </c>
      <c r="E175" s="95">
        <v>-1564.39</v>
      </c>
      <c r="F175" s="63">
        <v>-36800.78</v>
      </c>
      <c r="G175" s="63">
        <f t="shared" ref="G175:L175" si="10">G148+G161+G173</f>
        <v>-34732.350000000049</v>
      </c>
      <c r="H175" s="64">
        <f t="shared" si="10"/>
        <v>-61540.490000000027</v>
      </c>
      <c r="I175" s="63">
        <f t="shared" si="10"/>
        <v>-44964.18</v>
      </c>
      <c r="J175" s="64">
        <f t="shared" si="10"/>
        <v>-61323.240000000034</v>
      </c>
      <c r="K175" s="64">
        <f t="shared" si="10"/>
        <v>-71634.799999999974</v>
      </c>
      <c r="L175" s="64">
        <f t="shared" si="10"/>
        <v>-92133.13</v>
      </c>
      <c r="M175" s="65"/>
    </row>
    <row r="176" spans="1:13" x14ac:dyDescent="0.35">
      <c r="F176" s="16"/>
      <c r="G176" s="15"/>
      <c r="H176" s="15"/>
      <c r="I176" s="15"/>
      <c r="J176" s="16"/>
      <c r="K176" s="16"/>
      <c r="L176" s="16"/>
    </row>
    <row r="177" spans="1:13" x14ac:dyDescent="0.35">
      <c r="A177" s="31" t="s">
        <v>130</v>
      </c>
      <c r="B177" s="32"/>
      <c r="C177" s="32"/>
      <c r="D177" s="33"/>
      <c r="E177" s="33"/>
      <c r="F177" s="34"/>
      <c r="G177" s="34"/>
      <c r="H177" s="34"/>
      <c r="I177" s="34"/>
      <c r="J177" s="35"/>
      <c r="K177" s="35"/>
      <c r="L177" s="35"/>
    </row>
    <row r="178" spans="1:13" x14ac:dyDescent="0.35">
      <c r="A178" s="8"/>
      <c r="F178" s="16"/>
      <c r="G178" s="15"/>
      <c r="H178" s="15"/>
      <c r="I178" s="15"/>
      <c r="J178" s="16"/>
      <c r="K178" s="16"/>
      <c r="L178" s="16"/>
    </row>
    <row r="179" spans="1:13" x14ac:dyDescent="0.35">
      <c r="A179">
        <v>8000</v>
      </c>
      <c r="B179" t="s">
        <v>131</v>
      </c>
      <c r="C179">
        <v>5000</v>
      </c>
      <c r="D179" s="3">
        <v>6000</v>
      </c>
      <c r="E179" s="22">
        <v>5000</v>
      </c>
      <c r="F179" s="16">
        <v>13000</v>
      </c>
      <c r="G179" s="15">
        <v>7000</v>
      </c>
      <c r="H179" s="15">
        <v>7000</v>
      </c>
      <c r="I179" s="78">
        <v>7500</v>
      </c>
      <c r="J179" s="16">
        <v>7500</v>
      </c>
      <c r="K179" s="16">
        <v>7500</v>
      </c>
      <c r="L179" s="16">
        <v>7500</v>
      </c>
    </row>
    <row r="180" spans="1:13" x14ac:dyDescent="0.35">
      <c r="A180">
        <v>8050</v>
      </c>
      <c r="B180" t="s">
        <v>132</v>
      </c>
      <c r="C180">
        <v>20000</v>
      </c>
      <c r="D180" s="3">
        <v>23000</v>
      </c>
      <c r="E180" s="22">
        <v>11823.46</v>
      </c>
      <c r="F180" s="16">
        <v>18754.45</v>
      </c>
      <c r="G180" s="15">
        <v>24388.560000000001</v>
      </c>
      <c r="H180" s="15">
        <v>19869.72</v>
      </c>
      <c r="I180" s="78">
        <v>17942.88</v>
      </c>
      <c r="J180" s="16">
        <v>19406.259999999998</v>
      </c>
      <c r="K180" s="16">
        <v>21747.599999999999</v>
      </c>
      <c r="L180" s="16">
        <v>64612.13</v>
      </c>
    </row>
    <row r="181" spans="1:13" x14ac:dyDescent="0.35">
      <c r="A181">
        <v>8060</v>
      </c>
      <c r="B181" t="s">
        <v>133</v>
      </c>
      <c r="C181">
        <v>9000</v>
      </c>
      <c r="D181" s="3">
        <v>13000</v>
      </c>
      <c r="E181" s="22">
        <v>29000</v>
      </c>
      <c r="F181" s="16">
        <f>5000+13000</f>
        <v>18000</v>
      </c>
      <c r="G181" s="15">
        <v>13000</v>
      </c>
      <c r="H181" s="15">
        <v>23000</v>
      </c>
      <c r="I181" s="78">
        <v>12000</v>
      </c>
      <c r="J181" s="16">
        <v>9000</v>
      </c>
      <c r="K181" s="16">
        <v>9000</v>
      </c>
      <c r="L181" s="16">
        <v>9100</v>
      </c>
    </row>
    <row r="182" spans="1:13" x14ac:dyDescent="0.35">
      <c r="B182" t="s">
        <v>134</v>
      </c>
      <c r="C182">
        <v>0</v>
      </c>
      <c r="F182" s="16"/>
      <c r="G182" s="15"/>
      <c r="H182" s="15"/>
      <c r="I182" s="78"/>
      <c r="J182" s="16"/>
      <c r="K182" s="16"/>
      <c r="L182" s="16"/>
    </row>
    <row r="183" spans="1:13" x14ac:dyDescent="0.35">
      <c r="A183" t="s">
        <v>135</v>
      </c>
      <c r="C183">
        <f>SUM(C179:C182)</f>
        <v>34000</v>
      </c>
      <c r="D183" s="36">
        <f>SUM(D179:D182)</f>
        <v>42000</v>
      </c>
      <c r="E183" s="22">
        <f>SUM(E179:E181)</f>
        <v>45823.46</v>
      </c>
      <c r="F183" s="16">
        <f>SUM(F178:F181)</f>
        <v>49754.45</v>
      </c>
      <c r="G183" s="15">
        <f>SUM(G179:G182)</f>
        <v>44388.56</v>
      </c>
      <c r="H183" s="15">
        <f>SUM(H179:H182)</f>
        <v>49869.72</v>
      </c>
      <c r="I183" s="78">
        <f>SUM(I179:I182)</f>
        <v>37442.880000000005</v>
      </c>
      <c r="J183" s="16">
        <f>SUM(J179:J181)</f>
        <v>35906.259999999995</v>
      </c>
      <c r="K183" s="16">
        <f>SUM(K179:K181)</f>
        <v>38247.599999999999</v>
      </c>
      <c r="L183" s="25">
        <f>SUM(L179:L181)</f>
        <v>81212.13</v>
      </c>
    </row>
    <row r="184" spans="1:13" x14ac:dyDescent="0.35">
      <c r="F184" s="16"/>
      <c r="G184" s="15"/>
      <c r="H184" s="15"/>
      <c r="I184" s="15"/>
      <c r="J184" s="16"/>
      <c r="K184" s="16"/>
      <c r="L184" s="16"/>
    </row>
    <row r="185" spans="1:13" s="1" customFormat="1" ht="18.5" x14ac:dyDescent="0.45">
      <c r="A185" s="61" t="s">
        <v>136</v>
      </c>
      <c r="B185" s="61"/>
      <c r="C185" s="62">
        <f>C175+C183</f>
        <v>-9800</v>
      </c>
      <c r="D185" s="62">
        <f>D175+D183</f>
        <v>1100</v>
      </c>
      <c r="E185" s="95">
        <v>45069.91</v>
      </c>
      <c r="F185" s="64">
        <v>12953.67</v>
      </c>
      <c r="G185" s="63">
        <f t="shared" ref="G185:L185" si="11">G175+G183</f>
        <v>9656.2099999999482</v>
      </c>
      <c r="H185" s="64">
        <f t="shared" si="11"/>
        <v>-11670.770000000026</v>
      </c>
      <c r="I185" s="63">
        <f t="shared" si="11"/>
        <v>-7521.2999999999956</v>
      </c>
      <c r="J185" s="64">
        <f t="shared" si="11"/>
        <v>-25416.98000000004</v>
      </c>
      <c r="K185" s="64">
        <f t="shared" si="11"/>
        <v>-33387.199999999975</v>
      </c>
      <c r="L185" s="64">
        <f t="shared" si="11"/>
        <v>-10921</v>
      </c>
      <c r="M185" s="65"/>
    </row>
    <row r="186" spans="1:13" x14ac:dyDescent="0.35">
      <c r="A186" s="8"/>
      <c r="B186" s="8"/>
      <c r="C186" s="8"/>
      <c r="D186" s="23"/>
      <c r="E186" s="23"/>
      <c r="F186" s="16"/>
      <c r="G186" s="24"/>
      <c r="H186" s="24"/>
      <c r="I186" s="24"/>
      <c r="J186" s="8"/>
      <c r="K186" s="8"/>
      <c r="L186" s="8"/>
    </row>
    <row r="187" spans="1:13" s="2" customFormat="1" ht="21" x14ac:dyDescent="0.5">
      <c r="A187" s="82" t="s">
        <v>137</v>
      </c>
      <c r="B187" s="82"/>
      <c r="C187" s="83">
        <f>C177+C185</f>
        <v>-9800</v>
      </c>
      <c r="D187" s="83">
        <f>D177+D185</f>
        <v>1100</v>
      </c>
      <c r="E187" s="96">
        <v>45069.91</v>
      </c>
      <c r="F187" s="84">
        <v>12953.67</v>
      </c>
      <c r="G187" s="83">
        <f>G177+G185</f>
        <v>9656.2099999999482</v>
      </c>
      <c r="H187" s="85">
        <f>SUM(H185:H186)</f>
        <v>-11670.770000000026</v>
      </c>
      <c r="I187" s="83">
        <f>I177+I185</f>
        <v>-7521.2999999999956</v>
      </c>
      <c r="J187" s="85">
        <f>SUM(J185:J186)</f>
        <v>-25416.98000000004</v>
      </c>
      <c r="K187" s="85">
        <f>SUM(K185:K186)</f>
        <v>-33387.199999999975</v>
      </c>
      <c r="L187" s="85">
        <f>SUM(L185:L186)</f>
        <v>-10921</v>
      </c>
      <c r="M187" s="86"/>
    </row>
    <row r="188" spans="1:13" x14ac:dyDescent="0.35">
      <c r="G188" s="15"/>
      <c r="H188" s="15"/>
      <c r="I188" s="15"/>
    </row>
    <row r="189" spans="1:13" x14ac:dyDescent="0.35">
      <c r="G189" s="15"/>
      <c r="H189" s="15"/>
      <c r="I189" s="15"/>
    </row>
    <row r="190" spans="1:13" x14ac:dyDescent="0.35">
      <c r="H190" s="15"/>
    </row>
    <row r="191" spans="1:13" x14ac:dyDescent="0.35">
      <c r="H191" s="15"/>
    </row>
    <row r="192" spans="1:13" x14ac:dyDescent="0.35">
      <c r="H192" s="15"/>
    </row>
    <row r="197" spans="6:6" x14ac:dyDescent="0.35">
      <c r="F197" s="8"/>
    </row>
    <row r="204" spans="6:6" x14ac:dyDescent="0.35">
      <c r="F204" s="8"/>
    </row>
    <row r="206" spans="6:6" x14ac:dyDescent="0.35">
      <c r="F206" s="8"/>
    </row>
    <row r="207" spans="6:6" x14ac:dyDescent="0.35">
      <c r="F207" s="8"/>
    </row>
    <row r="208" spans="6:6" x14ac:dyDescent="0.35">
      <c r="F208" s="8"/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B289E590C4ECF4B93C4381BAD590571" ma:contentTypeVersion="13" ma:contentTypeDescription="Luo uusi asiakirja." ma:contentTypeScope="" ma:versionID="aec3213416dffa73f831676347ef06b4">
  <xsd:schema xmlns:xsd="http://www.w3.org/2001/XMLSchema" xmlns:xs="http://www.w3.org/2001/XMLSchema" xmlns:p="http://schemas.microsoft.com/office/2006/metadata/properties" xmlns:ns2="11d23c05-6a33-4762-aa77-d9e01615601a" xmlns:ns3="4294479d-35b8-4c1d-9b5a-3a8268c46f29" targetNamespace="http://schemas.microsoft.com/office/2006/metadata/properties" ma:root="true" ma:fieldsID="1f0b587cf82111f3cf72e40d746a3ea4" ns2:_="" ns3:_="">
    <xsd:import namespace="11d23c05-6a33-4762-aa77-d9e01615601a"/>
    <xsd:import namespace="4294479d-35b8-4c1d-9b5a-3a8268c46f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23c05-6a33-4762-aa77-d9e016156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4479d-35b8-4c1d-9b5a-3a8268c46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9471EE-34A4-4FF5-B0B1-FC4A0313D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23c05-6a33-4762-aa77-d9e01615601a"/>
    <ds:schemaRef ds:uri="4294479d-35b8-4c1d-9b5a-3a8268c46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A9D34-E0BE-4E21-8F6F-BF9D7F097F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B612A-6AA2-4974-818C-52B48E0A8D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 Aakkula</dc:creator>
  <cp:lastModifiedBy>Jonna Aakkula</cp:lastModifiedBy>
  <dcterms:created xsi:type="dcterms:W3CDTF">2022-04-08T11:01:29Z</dcterms:created>
  <dcterms:modified xsi:type="dcterms:W3CDTF">2022-05-11T12:58:23Z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0x010100CB289E590C4ECF4B93C4381BAD590571</vt:lpwstr>
  </property>
</Properties>
</file>